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bookViews>
    <workbookView xWindow="-15" yWindow="6390" windowWidth="28830" windowHeight="6450"/>
  </bookViews>
  <sheets>
    <sheet name="FY 2018-19" sheetId="8" r:id="rId1"/>
    <sheet name="FY 2019-20" sheetId="9" r:id="rId2"/>
    <sheet name="FY 2020-21" sheetId="5" r:id="rId3"/>
    <sheet name="FY 2021-22" sheetId="6" r:id="rId4"/>
    <sheet name="FY 2022-23" sheetId="11" r:id="rId5"/>
    <sheet name="Project Status Report FY17-18" sheetId="10" r:id="rId6"/>
    <sheet name="Sheet1" sheetId="12" state="hidden" r:id="rId7"/>
    <sheet name="Projections" sheetId="13" r:id="rId8"/>
  </sheets>
  <definedNames>
    <definedName name="AGENCY">Sheet1!$A$1:$A$37</definedName>
    <definedName name="BANNING">Sheet1!$A$1:$A$37</definedName>
    <definedName name="_xlnm.Print_Area" localSheetId="0">'FY 2018-19'!$A$1:$F$43</definedName>
    <definedName name="_xlnm.Print_Area" localSheetId="1">'FY 2019-20'!$A$1:$F$19</definedName>
    <definedName name="_xlnm.Print_Area" localSheetId="2">'FY 2020-21'!$A$1:$F$19</definedName>
    <definedName name="_xlnm.Print_Area" localSheetId="3">'FY 2021-22'!$A$1:$F$19</definedName>
    <definedName name="_xlnm.Print_Area" localSheetId="4">'FY 2022-23'!$A$1:$F$19</definedName>
    <definedName name="_xlnm.Print_Area" localSheetId="5">'Project Status Report FY17-18'!$A$1:$H$41</definedName>
  </definedNames>
  <calcPr calcId="145621"/>
</workbook>
</file>

<file path=xl/calcChain.xml><?xml version="1.0" encoding="utf-8"?>
<calcChain xmlns="http://schemas.openxmlformats.org/spreadsheetml/2006/main">
  <c r="G16" i="11" l="1"/>
  <c r="F16" i="11" s="1"/>
  <c r="H16" i="11" s="1"/>
  <c r="F15" i="11"/>
  <c r="H15" i="11" s="1"/>
  <c r="H17" i="11" s="1"/>
  <c r="F15" i="6"/>
  <c r="H15" i="6" l="1"/>
  <c r="G16" i="6"/>
  <c r="F16" i="6" s="1"/>
  <c r="H16" i="6" s="1"/>
  <c r="H17" i="6" l="1"/>
  <c r="E41" i="10" l="1"/>
  <c r="L22" i="8" l="1"/>
  <c r="L23" i="8"/>
  <c r="L24" i="8"/>
  <c r="L25" i="8"/>
  <c r="H26" i="8"/>
  <c r="L26" i="8"/>
  <c r="L27" i="8"/>
  <c r="L28" i="8"/>
  <c r="L29" i="8"/>
  <c r="L30" i="8"/>
  <c r="L31" i="8"/>
  <c r="L32" i="8"/>
  <c r="J33" i="8"/>
  <c r="L33" i="8"/>
  <c r="L34" i="8"/>
  <c r="L35" i="8"/>
  <c r="L36" i="8"/>
  <c r="L37" i="8"/>
  <c r="L40" i="8"/>
  <c r="L41" i="8"/>
  <c r="L42" i="8"/>
  <c r="F19" i="11" l="1"/>
  <c r="F19" i="6"/>
  <c r="F19" i="5"/>
  <c r="F19" i="9"/>
  <c r="F21" i="8" l="1"/>
  <c r="F36" i="8"/>
  <c r="F33" i="8"/>
  <c r="F24" i="8"/>
  <c r="F22" i="8"/>
  <c r="F14" i="10" l="1"/>
  <c r="F18" i="10"/>
  <c r="F40" i="10"/>
  <c r="F19" i="10"/>
  <c r="E24" i="8" l="1"/>
  <c r="E27" i="8"/>
  <c r="F33" i="10" l="1"/>
  <c r="F29" i="10"/>
  <c r="F16" i="10"/>
  <c r="F41" i="10" s="1"/>
  <c r="F39" i="8" l="1"/>
  <c r="F38" i="8"/>
  <c r="E37" i="8"/>
  <c r="E31" i="8"/>
  <c r="E43" i="8" l="1"/>
  <c r="F23" i="8" l="1"/>
  <c r="F25" i="8"/>
  <c r="F26" i="8"/>
  <c r="F27" i="8"/>
  <c r="F28" i="8"/>
  <c r="F29" i="8"/>
  <c r="F30" i="8"/>
  <c r="F31" i="8"/>
  <c r="F32" i="8"/>
  <c r="F34" i="8"/>
  <c r="F35" i="8"/>
  <c r="F37" i="8"/>
  <c r="F40" i="8"/>
  <c r="F41" i="8"/>
  <c r="F42" i="8"/>
  <c r="F43" i="8" l="1"/>
  <c r="L16" i="10"/>
  <c r="M21" i="10"/>
  <c r="M22" i="10"/>
  <c r="M23" i="10"/>
  <c r="M24" i="10"/>
  <c r="M25" i="10"/>
  <c r="M26" i="10"/>
  <c r="M27" i="10"/>
  <c r="M28" i="10"/>
  <c r="M30" i="10"/>
  <c r="M31" i="10"/>
  <c r="M32" i="10"/>
  <c r="M34" i="10"/>
  <c r="M37" i="10"/>
  <c r="M38" i="10"/>
  <c r="M39" i="10"/>
  <c r="M15" i="10"/>
  <c r="M17" i="10"/>
  <c r="M20" i="10"/>
  <c r="F9" i="11" l="1"/>
  <c r="F9" i="6"/>
  <c r="F9" i="5"/>
  <c r="F9" i="9"/>
  <c r="F11" i="8"/>
  <c r="F8" i="8" l="1"/>
  <c r="E19" i="11" l="1"/>
  <c r="E19" i="6"/>
  <c r="E19" i="5"/>
  <c r="E19" i="9"/>
  <c r="F7" i="8" l="1"/>
  <c r="F9" i="8" l="1"/>
  <c r="F10" i="8" s="1"/>
  <c r="F12" i="8" l="1"/>
  <c r="F8" i="9" l="1"/>
  <c r="F10" i="9" s="1"/>
  <c r="F47" i="8"/>
  <c r="F8" i="5" l="1"/>
  <c r="F10" i="5" s="1"/>
  <c r="F21" i="9"/>
  <c r="F21" i="5" l="1"/>
  <c r="F8" i="6"/>
  <c r="F10" i="6" s="1"/>
  <c r="F21" i="6" l="1"/>
  <c r="F8" i="11"/>
  <c r="F10" i="11" s="1"/>
  <c r="F21" i="11" s="1"/>
</calcChain>
</file>

<file path=xl/comments1.xml><?xml version="1.0" encoding="utf-8"?>
<comments xmlns="http://schemas.openxmlformats.org/spreadsheetml/2006/main">
  <authors>
    <author>Launa Jimenez</author>
  </authors>
  <commentList>
    <comment ref="L16" authorId="0">
      <text>
        <r>
          <rPr>
            <b/>
            <sz val="9"/>
            <color indexed="81"/>
            <rFont val="Tahoma"/>
            <family val="2"/>
          </rPr>
          <t>Launa Jimenez:</t>
        </r>
        <r>
          <rPr>
            <sz val="9"/>
            <color indexed="81"/>
            <rFont val="Tahoma"/>
            <family val="2"/>
          </rPr>
          <t xml:space="preserve">
$112,640 removed because of O'Duffy PO (encumbrance did not change with A/P change)</t>
        </r>
      </text>
    </comment>
  </commentList>
</comments>
</file>

<file path=xl/sharedStrings.xml><?xml version="1.0" encoding="utf-8"?>
<sst xmlns="http://schemas.openxmlformats.org/spreadsheetml/2006/main" count="629" uniqueCount="287">
  <si>
    <t>Project Name / Limits</t>
  </si>
  <si>
    <t>Project Type</t>
  </si>
  <si>
    <t>Status</t>
  </si>
  <si>
    <t>Estimated Prior Year Measure A Balance:</t>
  </si>
  <si>
    <t xml:space="preserve">Measure A Funds </t>
  </si>
  <si>
    <t>Total Cost</t>
  </si>
  <si>
    <t>Estimated/ Actual Completion</t>
  </si>
  <si>
    <t>2021-02</t>
  </si>
  <si>
    <t>2021-03</t>
  </si>
  <si>
    <t>2021-04</t>
  </si>
  <si>
    <t>2021-05</t>
  </si>
  <si>
    <t>2019-01</t>
  </si>
  <si>
    <t>2019-02</t>
  </si>
  <si>
    <t>2019-03</t>
  </si>
  <si>
    <t>2019-04</t>
  </si>
  <si>
    <t>2019-05</t>
  </si>
  <si>
    <t>2019-06</t>
  </si>
  <si>
    <t>2019-07</t>
  </si>
  <si>
    <t>2019-08</t>
  </si>
  <si>
    <t>2020-02</t>
  </si>
  <si>
    <t>2020-03</t>
  </si>
  <si>
    <t>2020-04</t>
  </si>
  <si>
    <t>2020-05</t>
  </si>
  <si>
    <t>2022-02</t>
  </si>
  <si>
    <t>2022-03</t>
  </si>
  <si>
    <t>2022-04</t>
  </si>
  <si>
    <t>2022-05</t>
  </si>
  <si>
    <t>2023-02</t>
  </si>
  <si>
    <t>2023-03</t>
  </si>
  <si>
    <t>2023-04</t>
  </si>
  <si>
    <t>2023-05</t>
  </si>
  <si>
    <t>BANNING</t>
  </si>
  <si>
    <t>BEAUMONT</t>
  </si>
  <si>
    <t>RCTC Regional Arterial</t>
  </si>
  <si>
    <t>RIVERSIDE COUNTY-WESTERN</t>
  </si>
  <si>
    <t>RIVERSIDE COUNTY-CV</t>
  </si>
  <si>
    <t>RIVERSIDE COUNTY-PVV</t>
  </si>
  <si>
    <t>CATHEDRAL CITY</t>
  </si>
  <si>
    <t>LA QUINTA</t>
  </si>
  <si>
    <t>BLYTHE</t>
  </si>
  <si>
    <t>CALIMESA</t>
  </si>
  <si>
    <t>CANYON LAKE</t>
  </si>
  <si>
    <t>CORONA</t>
  </si>
  <si>
    <t>EASTVALE</t>
  </si>
  <si>
    <t>HEMET</t>
  </si>
  <si>
    <t>JURUPA VALLEY</t>
  </si>
  <si>
    <t>LAKE ELSINORE</t>
  </si>
  <si>
    <t>MENIFEE</t>
  </si>
  <si>
    <t>MORENO VALLEY</t>
  </si>
  <si>
    <t>MURRIETA</t>
  </si>
  <si>
    <t>NORCO</t>
  </si>
  <si>
    <t>PERRIS</t>
  </si>
  <si>
    <t>RIVERSIDE</t>
  </si>
  <si>
    <t>SAN JACINTO</t>
  </si>
  <si>
    <t>TEMECULA</t>
  </si>
  <si>
    <t>WILDOMAR</t>
  </si>
  <si>
    <t>COACHELLA</t>
  </si>
  <si>
    <t>DESERT HOT SPRINGS</t>
  </si>
  <si>
    <t>INDIAN WELLS</t>
  </si>
  <si>
    <t>INDIO</t>
  </si>
  <si>
    <t>PALM DESERT</t>
  </si>
  <si>
    <t>PALM SPRINGS</t>
  </si>
  <si>
    <t>RANCHO MIRAGE</t>
  </si>
  <si>
    <t>RIVERSIDE COUNTY TRANSPORTATION COMMISSION</t>
  </si>
  <si>
    <t>MEASURE A PROGRAM ALLOCATION (PROJECTION)</t>
  </si>
  <si>
    <t>% increase</t>
  </si>
  <si>
    <t>Western County</t>
  </si>
  <si>
    <t>SUBTOTAL-Western County</t>
  </si>
  <si>
    <r>
      <t>Pal</t>
    </r>
    <r>
      <rPr>
        <sz val="9"/>
        <rFont val="Century Gothic"/>
        <family val="2"/>
        <scheme val="minor"/>
      </rPr>
      <t>o Verde Valley</t>
    </r>
  </si>
  <si>
    <t xml:space="preserve">  </t>
  </si>
  <si>
    <t>Item No.</t>
  </si>
  <si>
    <t>TOTAL</t>
  </si>
  <si>
    <t xml:space="preserve">Agency:  </t>
  </si>
  <si>
    <t xml:space="preserve">Prepared by:  </t>
  </si>
  <si>
    <t xml:space="preserve">Phone #:  </t>
  </si>
  <si>
    <t>Anticipated Measure A Funds Expended (Est thru 6/30/2018)</t>
  </si>
  <si>
    <r>
      <t xml:space="preserve">Date: </t>
    </r>
    <r>
      <rPr>
        <i/>
        <sz val="10"/>
        <rFont val="Century Gothic"/>
        <family val="2"/>
        <scheme val="major"/>
      </rPr>
      <t xml:space="preserve"> </t>
    </r>
  </si>
  <si>
    <t>PROJECT STATUS REPORT FY 2017/18</t>
  </si>
  <si>
    <t>FY 2022/23</t>
  </si>
  <si>
    <t>Column1</t>
  </si>
  <si>
    <r>
      <rPr>
        <sz val="9"/>
        <rFont val="Century Gothic"/>
        <family val="2"/>
        <scheme val="minor"/>
      </rPr>
      <t>FY 2017/18</t>
    </r>
  </si>
  <si>
    <r>
      <rPr>
        <sz val="9"/>
        <rFont val="Century Gothic"/>
        <family val="2"/>
        <scheme val="minor"/>
      </rPr>
      <t>FY 2018/19</t>
    </r>
  </si>
  <si>
    <r>
      <rPr>
        <sz val="9"/>
        <rFont val="Century Gothic"/>
        <family val="2"/>
        <scheme val="minor"/>
      </rPr>
      <t>FY 2019/20</t>
    </r>
  </si>
  <si>
    <r>
      <rPr>
        <sz val="9"/>
        <rFont val="Century Gothic"/>
        <family val="2"/>
        <scheme val="minor"/>
      </rPr>
      <t>FY 2020/21</t>
    </r>
  </si>
  <si>
    <r>
      <rPr>
        <sz val="9"/>
        <rFont val="Century Gothic"/>
        <family val="2"/>
        <scheme val="minor"/>
      </rPr>
      <t>FY 2021/22</t>
    </r>
  </si>
  <si>
    <r>
      <rPr>
        <sz val="9"/>
        <rFont val="Century Gothic"/>
        <family val="2"/>
        <scheme val="minor"/>
      </rPr>
      <t>FY 2022/23</t>
    </r>
  </si>
  <si>
    <r>
      <rPr>
        <sz val="9"/>
        <rFont val="Century Gothic"/>
        <family val="2"/>
        <scheme val="minor"/>
      </rPr>
      <t>-</t>
    </r>
  </si>
  <si>
    <r>
      <t>Co</t>
    </r>
    <r>
      <rPr>
        <sz val="9"/>
        <rFont val="Century Gothic"/>
        <family val="2"/>
        <scheme val="minor"/>
      </rPr>
      <t>achella Valley</t>
    </r>
  </si>
  <si>
    <r>
      <rPr>
        <sz val="9"/>
        <rFont val="Century Gothic"/>
        <family val="2"/>
        <scheme val="minor"/>
      </rPr>
      <t>COACHELLA</t>
    </r>
  </si>
  <si>
    <r>
      <rPr>
        <sz val="9"/>
        <rFont val="Century Gothic"/>
        <family val="2"/>
        <scheme val="minor"/>
      </rPr>
      <t>DESERT HOT SPRINGS</t>
    </r>
  </si>
  <si>
    <r>
      <rPr>
        <sz val="9"/>
        <rFont val="Century Gothic"/>
        <family val="2"/>
        <scheme val="minor"/>
      </rPr>
      <t>INDIAN WELLS</t>
    </r>
  </si>
  <si>
    <r>
      <rPr>
        <sz val="9"/>
        <rFont val="Century Gothic"/>
        <family val="2"/>
        <scheme val="minor"/>
      </rPr>
      <t>INDIO</t>
    </r>
  </si>
  <si>
    <r>
      <rPr>
        <sz val="9"/>
        <rFont val="Century Gothic"/>
        <family val="2"/>
        <scheme val="minor"/>
      </rPr>
      <t>PALM DESERT</t>
    </r>
  </si>
  <si>
    <r>
      <rPr>
        <sz val="9"/>
        <rFont val="Century Gothic"/>
        <family val="2"/>
        <scheme val="minor"/>
      </rPr>
      <t>PALM SPRINGS</t>
    </r>
  </si>
  <si>
    <r>
      <rPr>
        <sz val="9"/>
        <rFont val="Century Gothic"/>
        <family val="2"/>
        <scheme val="minor"/>
      </rPr>
      <t>RANCHO MIRAGE</t>
    </r>
  </si>
  <si>
    <t>¹ Beaumont became eligible for Measure A local streets and roads funds in November 2017; its share prior to effective date is allocated to the Western County Measure A Regional Arterial fund.</t>
  </si>
  <si>
    <t>² Under an agreement between CVAG and La Quinta, CVAG receives 50% of La Quinta's allocation and La Quinta the remaining 50% until such time La Quinta has reimbursed CVAG for TUMF fees CVAG would have received from La Quinta if La Quinta had joined the TUMF program when the TUMF was established.</t>
  </si>
  <si>
    <r>
      <rPr>
        <sz val="9"/>
        <rFont val="Arial Unicode MS"/>
        <family val="34"/>
      </rPr>
      <t>Note: Estimate for Planning Purposes, subject to change and rounding differences</t>
    </r>
  </si>
  <si>
    <r>
      <rPr>
        <b/>
        <sz val="9"/>
        <rFont val="Century Gothic"/>
        <family val="2"/>
        <scheme val="minor"/>
      </rPr>
      <t>TOTAL</t>
    </r>
  </si>
  <si>
    <r>
      <rPr>
        <b/>
        <sz val="9"/>
        <rFont val="Century Gothic"/>
        <family val="2"/>
        <scheme val="minor"/>
      </rPr>
      <t>SUBTOTAL-Palo Verde Valley</t>
    </r>
  </si>
  <si>
    <r>
      <rPr>
        <b/>
        <sz val="9"/>
        <rFont val="Century Gothic"/>
        <family val="2"/>
        <scheme val="minor"/>
      </rPr>
      <t>SUBTOTAL-Coachella Valley</t>
    </r>
  </si>
  <si>
    <t>FY 2018/19</t>
  </si>
  <si>
    <t>FY 2016/17 Audited Measure A Balance:</t>
  </si>
  <si>
    <t>Estimated FY 2018/19 Measure A Allocation:</t>
  </si>
  <si>
    <t>Estimated Measure A Available for FY 2018/19 Projects:</t>
  </si>
  <si>
    <t>FY 2019/20</t>
  </si>
  <si>
    <t>Estimated FY 2019/20 Measure A Allocation:</t>
  </si>
  <si>
    <t>Estimated Measure A Available for FY 2019/20 Projects:</t>
  </si>
  <si>
    <t>FY 2020/21</t>
  </si>
  <si>
    <t>Estimated FY 2020/21 Measure A Allocation:</t>
  </si>
  <si>
    <t>Estimated Measure A Available for FY 2020/21 Projects:</t>
  </si>
  <si>
    <t>Total Project Cost</t>
  </si>
  <si>
    <t>2018/19</t>
  </si>
  <si>
    <t>2019/20</t>
  </si>
  <si>
    <t>2020/21</t>
  </si>
  <si>
    <t>FY 2021/22</t>
  </si>
  <si>
    <t>Estimated FY 2021/22 Measure A Allocation:</t>
  </si>
  <si>
    <t>Estimated Measure A Available for FY 2021/22 Projects:</t>
  </si>
  <si>
    <t>2021/22</t>
  </si>
  <si>
    <t>2020-01</t>
  </si>
  <si>
    <t>2021-01</t>
  </si>
  <si>
    <t>2022-01</t>
  </si>
  <si>
    <t>Estimated FY 2022/23 Measure A Allocation:</t>
  </si>
  <si>
    <t>Estimated Measure A Available for FY 2022/23 Projects:</t>
  </si>
  <si>
    <t>2022/23</t>
  </si>
  <si>
    <t>2023-01</t>
  </si>
  <si>
    <t>FY 2017/18 (Revised) Measure A Revenue:</t>
  </si>
  <si>
    <t>FY 2017/18 Project Status Report expenses:</t>
  </si>
  <si>
    <r>
      <t>CVAG</t>
    </r>
    <r>
      <rPr>
        <sz val="9"/>
        <rFont val="Century Gothic"/>
        <family val="2"/>
      </rPr>
      <t>²</t>
    </r>
  </si>
  <si>
    <r>
      <t>RCTC Regional Arterial</t>
    </r>
    <r>
      <rPr>
        <sz val="9"/>
        <rFont val="Century Gothic"/>
        <family val="2"/>
      </rPr>
      <t>¹</t>
    </r>
  </si>
  <si>
    <r>
      <t>Audited Balance FY17 (Revised)</t>
    </r>
    <r>
      <rPr>
        <sz val="9"/>
        <color rgb="FF000000"/>
        <rFont val="Century Gothic"/>
        <family val="2"/>
      </rPr>
      <t>³</t>
    </r>
  </si>
  <si>
    <r>
      <rPr>
        <sz val="9"/>
        <rFont val="Century Gothic"/>
        <family val="2"/>
      </rPr>
      <t>³</t>
    </r>
    <r>
      <rPr>
        <sz val="9"/>
        <rFont val="Arial Unicode MS"/>
        <family val="34"/>
      </rPr>
      <t>Audited Balance shown is from draft  report and may be revised in final report</t>
    </r>
  </si>
  <si>
    <t>Launa Jimenez</t>
  </si>
  <si>
    <t>(951) 413-3128</t>
  </si>
  <si>
    <t>Public Works - Sign/Striping</t>
  </si>
  <si>
    <t>Public Works - Tree Trimming</t>
  </si>
  <si>
    <t>Public Works - Capital Projects Program Budget</t>
  </si>
  <si>
    <t>Program Budget</t>
  </si>
  <si>
    <t>Operating Budget</t>
  </si>
  <si>
    <t>Transfers to 2013-2014 Refunding Lease Revenue Bonds</t>
  </si>
  <si>
    <t>Transfers to TRIP Debt Service</t>
  </si>
  <si>
    <t>Debt Service</t>
  </si>
  <si>
    <t>Measure A Program Budget</t>
  </si>
  <si>
    <t>Transfers to 2013/2014 Refunding Lease Revenue Bonds</t>
  </si>
  <si>
    <t>Street Improvements</t>
  </si>
  <si>
    <t>Alessandro Blvd/ Elsworth St Intersection Imprv</t>
  </si>
  <si>
    <t>Annual ADA Compliant Curb Ramp Upgrades</t>
  </si>
  <si>
    <t>Bike Lane Improvements</t>
  </si>
  <si>
    <t>Citywide Annual Pavement Resurfacing</t>
  </si>
  <si>
    <t>Cycle 1 ATP Citywide SRTS Pedestrian Facility Improvements</t>
  </si>
  <si>
    <t>Gentian Ave and Eucalyptus Ave Class II Bike Lanes</t>
  </si>
  <si>
    <t>Heacock St/ Perris Vally Storm Drain Lateral A to Cactus Ave</t>
  </si>
  <si>
    <t>Heacock St South Extension</t>
  </si>
  <si>
    <t>Property Acquisition for Street Purposes</t>
  </si>
  <si>
    <t>Reche Vista Dr Realignment/ Perris Blvd/ Heacock St to NCL</t>
  </si>
  <si>
    <t>Residential Traffic Management Program (Speed Humps)</t>
  </si>
  <si>
    <t>SR-60/ Theodore St Interchange</t>
  </si>
  <si>
    <t>Moreno Townsite Area Storm Drain &amp; Street Improvements/ Alessandro Blvd to Drainage Facility</t>
  </si>
  <si>
    <t>Cottonwood Basin</t>
  </si>
  <si>
    <t>Heacock St Channel Improvements</t>
  </si>
  <si>
    <t>Hubbard St Storm Drain Line H-1A Stage 3</t>
  </si>
  <si>
    <t>San Timoteo Foothill Storm Drain K-1 and K-4 (ADP)</t>
  </si>
  <si>
    <t>Dynamic Traveler Alert Message Boards</t>
  </si>
  <si>
    <t>Pedestrian Hybrid Beacon on Cactus Ave at Woodland Park</t>
  </si>
  <si>
    <t>Systemic Safety Analysis Report Program</t>
  </si>
  <si>
    <t>Traffic Signal Equipment/ Upgrades</t>
  </si>
  <si>
    <t>Street Improvements (Bike Lanes)</t>
  </si>
  <si>
    <t>Drainage</t>
  </si>
  <si>
    <t>Traffic Enhancements</t>
  </si>
  <si>
    <t>Traffic Signals</t>
  </si>
  <si>
    <t>Alessandro Blvd at Chagall Ct and at Graham St</t>
  </si>
  <si>
    <t>Aqueduct Trail</t>
  </si>
  <si>
    <t>ITS Deployment Phase 1B</t>
  </si>
  <si>
    <t>Safe Routes to School Outreach Program</t>
  </si>
  <si>
    <t>Public Outreach</t>
  </si>
  <si>
    <t>N/A</t>
  </si>
  <si>
    <t>Annual Budget</t>
  </si>
  <si>
    <t>801 0003</t>
  </si>
  <si>
    <t>Project #</t>
  </si>
  <si>
    <t>Measure A Budget</t>
  </si>
  <si>
    <t>801 0008</t>
  </si>
  <si>
    <t>801 0009</t>
  </si>
  <si>
    <t>801 0010</t>
  </si>
  <si>
    <t>801 0011</t>
  </si>
  <si>
    <t>801 0015</t>
  </si>
  <si>
    <t>801 0023</t>
  </si>
  <si>
    <t>1408038 X 25% = 352,009 Grant
201,270 Measure A</t>
  </si>
  <si>
    <t>801 0047</t>
  </si>
  <si>
    <t>801 0049</t>
  </si>
  <si>
    <t>801 0052</t>
  </si>
  <si>
    <t>801 0063</t>
  </si>
  <si>
    <t>801 0065</t>
  </si>
  <si>
    <t>801 0079</t>
  </si>
  <si>
    <t>804 0001</t>
  </si>
  <si>
    <t>804 0007</t>
  </si>
  <si>
    <t>804 0010</t>
  </si>
  <si>
    <t>804 0013</t>
  </si>
  <si>
    <t>808 0013</t>
  </si>
  <si>
    <t>808 0016</t>
  </si>
  <si>
    <t>808 0017</t>
  </si>
  <si>
    <t>808 0032</t>
  </si>
  <si>
    <t>801 0057</t>
  </si>
  <si>
    <t>801 0055</t>
  </si>
  <si>
    <t>808 0015</t>
  </si>
  <si>
    <t>801 0056</t>
  </si>
  <si>
    <t>Measure A Encumbrance as of 3/6</t>
  </si>
  <si>
    <t>Measure A Budget used as of 3/6</t>
  </si>
  <si>
    <t>E-Suites</t>
  </si>
  <si>
    <t>YES</t>
  </si>
  <si>
    <t>Grant</t>
  </si>
  <si>
    <t>Yes 10% Match</t>
  </si>
  <si>
    <t>Yes 50% Match</t>
  </si>
  <si>
    <t>$22,092.48
$0</t>
  </si>
  <si>
    <t>$75.18
$0</t>
  </si>
  <si>
    <t>$1,385,870.34
$201,270</t>
  </si>
  <si>
    <t>Yes 25% Match</t>
  </si>
  <si>
    <t>Measure A Remaining Balance</t>
  </si>
  <si>
    <t>766848 X 10% = 76,684.80</t>
  </si>
  <si>
    <t>109755 X 50% = 54,877.50</t>
  </si>
  <si>
    <t>1110677 X 25% = 277,669.25</t>
  </si>
  <si>
    <t xml:space="preserve">YES
</t>
  </si>
  <si>
    <t>Construction</t>
  </si>
  <si>
    <t>On-going Annual Project</t>
  </si>
  <si>
    <t>PE/ Environmental Clearance</t>
  </si>
  <si>
    <t>Completed</t>
  </si>
  <si>
    <t>Design</t>
  </si>
  <si>
    <t>On Hold</t>
  </si>
  <si>
    <t>Advertising Consultant</t>
  </si>
  <si>
    <t>2019-09</t>
  </si>
  <si>
    <t>2019-10</t>
  </si>
  <si>
    <t>2019-11</t>
  </si>
  <si>
    <t>2019-12</t>
  </si>
  <si>
    <t>2019-13</t>
  </si>
  <si>
    <t>2019-14</t>
  </si>
  <si>
    <t>2019-15</t>
  </si>
  <si>
    <t>2019-16</t>
  </si>
  <si>
    <t>2019-17</t>
  </si>
  <si>
    <t>2019-18</t>
  </si>
  <si>
    <t>2019-19</t>
  </si>
  <si>
    <t>2019-20</t>
  </si>
  <si>
    <t>2019-21</t>
  </si>
  <si>
    <t>2019-22</t>
  </si>
  <si>
    <t>2019-23</t>
  </si>
  <si>
    <t>2019-24</t>
  </si>
  <si>
    <t>2019-25</t>
  </si>
  <si>
    <t>FY 17/18 Total Budget</t>
  </si>
  <si>
    <t>Estimated Measure A Balance</t>
  </si>
  <si>
    <t>Pre-Construction</t>
  </si>
  <si>
    <t>PA/ED Phase</t>
  </si>
  <si>
    <t>FUND 2301 - Capital Projects Grants</t>
  </si>
  <si>
    <t>The FY 14/15 transfer of $1,495,760 from Measure A (Fund 2001) to Capital Projects Grant (Fund 2301) provided local match funding for the following grant awards.  The FY 15/16 budgets and expenditures in Capital Projects Grants do not impact the Measure A fund.  Any unused local match funds will be transferred back to the Measure A fund upon project completion.</t>
  </si>
  <si>
    <t>The FY 14/15 transfer of $1,495,760 from Measure A (Fund 2001) to Capital Projects Grant (Fund 2301) provided local match funding for the following grant awards.  The FY 17/18 budgets and expenditures in Capital Projects Grants do not impact the Measure A fund.  Any unused local match funds will be transferred back to the Measure A fund upon project completion.</t>
  </si>
  <si>
    <t>2019-26</t>
  </si>
  <si>
    <t>2019-27</t>
  </si>
  <si>
    <t>10% local match</t>
  </si>
  <si>
    <t>20% local match</t>
  </si>
  <si>
    <t>11.56%  local match</t>
  </si>
  <si>
    <t>13.45% local match</t>
  </si>
  <si>
    <t>FY 17/18 Measure A Budget</t>
  </si>
  <si>
    <t>FY 17/18 Estimated  used Measure A</t>
  </si>
  <si>
    <t>same</t>
  </si>
  <si>
    <t>Henry</t>
  </si>
  <si>
    <t>John</t>
  </si>
  <si>
    <t>Marge</t>
  </si>
  <si>
    <t>Guy</t>
  </si>
  <si>
    <t>Eric</t>
  </si>
  <si>
    <t>Quang</t>
  </si>
  <si>
    <t>Josh</t>
  </si>
  <si>
    <t>Total budget used as of 3/13</t>
  </si>
  <si>
    <t>$5,000 needed for warranty walk</t>
  </si>
  <si>
    <t>*Actual Exp $66,222.76</t>
  </si>
  <si>
    <t>*Henry advises we will use all of it; 2301 budget is $88,667</t>
  </si>
  <si>
    <t>*John advised we will  use $52,716 total; 3/14 we have used $21,598.48 of Measure A; $31,117*11.56% = $3,597</t>
  </si>
  <si>
    <t>*John advised we will use $200,000 total; $200,000 - $146,236 = $53,764; $53,764*13.45% = $7,231.25</t>
  </si>
  <si>
    <t>*Henry advises we will use 70%; $586,370*70% = $410,459; $410,459*10% = $41,046</t>
  </si>
  <si>
    <t>30% of $586,370 = $175,911</t>
  </si>
  <si>
    <t>Transfer from 801 0011 (2001) to 801 0057 (2301) Alessandro Blvd at Chagall Ct and at Graham St</t>
  </si>
  <si>
    <t>What-If Analysis: Data Tab</t>
  </si>
  <si>
    <t>1. 100% in cell to the right (G16)</t>
  </si>
  <si>
    <t>6. What-If Analysis - Goal Seek</t>
  </si>
  <si>
    <t>9. By Changing Cell: G16</t>
  </si>
  <si>
    <t>2. Cell G16 (= G15)</t>
  </si>
  <si>
    <t>3. Change formula in F15 and F16; number cell * percentage cell (E16*G16)</t>
  </si>
  <si>
    <t>4. Cell H15 (F15-E15); Cell H16 (F16-E16)</t>
  </si>
  <si>
    <t>5. Cell H17 (H15+H16)</t>
  </si>
  <si>
    <t>7. Set Cell: H17</t>
  </si>
  <si>
    <t>8. To Value: Difference between F10 and F19</t>
  </si>
</sst>
</file>

<file path=xl/styles.xml><?xml version="1.0" encoding="utf-8"?>
<styleSheet xmlns="http://schemas.openxmlformats.org/spreadsheetml/2006/main" xmlns:mc="http://schemas.openxmlformats.org/markup-compatibility/2006" xmlns:x14ac="http://schemas.microsoft.com/office/spreadsheetml/2009/9/ac" mc:Ignorable="x14ac">
  <numFmts count="12">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
    <numFmt numFmtId="165" formatCode="_(&quot;$&quot;* #,##0_);_(&quot;$&quot;* \(#,##0\);_(&quot;$&quot;* &quot;-&quot;??_);_(@_)"/>
    <numFmt numFmtId="166" formatCode="#,##0;#,##0"/>
    <numFmt numFmtId="167" formatCode="m\,dd\,yy;@"/>
    <numFmt numFmtId="168" formatCode="_([$$-409]* #,##0.00_);_([$$-409]* \(#,##0.00\);_([$$-409]* &quot;-&quot;??_);_(@_)"/>
    <numFmt numFmtId="169" formatCode="#,##0;\(#,##0\)"/>
    <numFmt numFmtId="170" formatCode="000\-000\-0000"/>
    <numFmt numFmtId="171" formatCode="_(* #,##0_);_(* \(#,##0\);_(* &quot;-&quot;??_);_(@_)"/>
  </numFmts>
  <fonts count="26" x14ac:knownFonts="1">
    <font>
      <sz val="10"/>
      <name val="Arial"/>
    </font>
    <font>
      <sz val="10"/>
      <name val="Arial"/>
      <family val="2"/>
    </font>
    <font>
      <sz val="10"/>
      <name val="Arial"/>
      <family val="2"/>
    </font>
    <font>
      <sz val="10"/>
      <color rgb="FF000000"/>
      <name val="Times New Roman"/>
      <family val="1"/>
    </font>
    <font>
      <sz val="10"/>
      <name val="Century Gothic"/>
      <family val="2"/>
      <scheme val="minor"/>
    </font>
    <font>
      <sz val="9"/>
      <name val="Century Gothic"/>
      <family val="2"/>
      <scheme val="minor"/>
    </font>
    <font>
      <sz val="9"/>
      <name val="Arial Unicode MS"/>
      <family val="34"/>
    </font>
    <font>
      <b/>
      <i/>
      <sz val="12"/>
      <color indexed="9"/>
      <name val="Century Gothic"/>
      <family val="2"/>
      <scheme val="major"/>
    </font>
    <font>
      <sz val="10"/>
      <name val="Century Gothic"/>
      <family val="2"/>
      <scheme val="major"/>
    </font>
    <font>
      <i/>
      <sz val="10"/>
      <name val="Century Gothic"/>
      <family val="2"/>
      <scheme val="major"/>
    </font>
    <font>
      <b/>
      <sz val="10"/>
      <name val="Century Gothic"/>
      <family val="2"/>
      <scheme val="major"/>
    </font>
    <font>
      <b/>
      <u/>
      <sz val="10"/>
      <name val="Century Gothic"/>
      <family val="2"/>
      <scheme val="major"/>
    </font>
    <font>
      <b/>
      <i/>
      <sz val="12"/>
      <name val="Century Gothic"/>
      <family val="2"/>
      <scheme val="major"/>
    </font>
    <font>
      <sz val="9"/>
      <color rgb="FF000000"/>
      <name val="Century Gothic"/>
      <family val="2"/>
      <scheme val="minor"/>
    </font>
    <font>
      <sz val="9"/>
      <color rgb="FF00B0F0"/>
      <name val="Century Gothic"/>
      <family val="2"/>
      <scheme val="minor"/>
    </font>
    <font>
      <b/>
      <sz val="9"/>
      <color rgb="FF000000"/>
      <name val="Century Gothic"/>
      <family val="2"/>
      <scheme val="minor"/>
    </font>
    <font>
      <sz val="9"/>
      <color rgb="FF000000"/>
      <name val="Times New Roman"/>
      <family val="1"/>
    </font>
    <font>
      <sz val="9"/>
      <name val="Arial"/>
      <family val="2"/>
    </font>
    <font>
      <b/>
      <sz val="9"/>
      <name val="Century Gothic"/>
      <family val="2"/>
      <scheme val="minor"/>
    </font>
    <font>
      <sz val="9"/>
      <color rgb="FF00A7CE"/>
      <name val="Century Gothic"/>
      <family val="2"/>
      <scheme val="minor"/>
    </font>
    <font>
      <sz val="9"/>
      <name val="Century Gothic"/>
      <family val="2"/>
    </font>
    <font>
      <sz val="9"/>
      <color rgb="FF000000"/>
      <name val="Century Gothic"/>
      <family val="2"/>
    </font>
    <font>
      <sz val="9"/>
      <color indexed="81"/>
      <name val="Tahoma"/>
      <family val="2"/>
    </font>
    <font>
      <b/>
      <sz val="9"/>
      <color indexed="81"/>
      <name val="Tahoma"/>
      <family val="2"/>
    </font>
    <font>
      <b/>
      <sz val="10"/>
      <name val="Arial"/>
      <family val="2"/>
    </font>
    <font>
      <sz val="10"/>
      <name val="Arial"/>
    </font>
  </fonts>
  <fills count="4">
    <fill>
      <patternFill patternType="none"/>
    </fill>
    <fill>
      <patternFill patternType="gray125"/>
    </fill>
    <fill>
      <patternFill patternType="solid">
        <fgColor rgb="FF004EBC"/>
        <bgColor indexed="64"/>
      </patternFill>
    </fill>
    <fill>
      <patternFill patternType="solid">
        <fgColor rgb="FFFFFF00"/>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right/>
      <top style="thin">
        <color rgb="FF000000"/>
      </top>
      <bottom style="double">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style="thin">
        <color indexed="64"/>
      </bottom>
      <diagonal/>
    </border>
  </borders>
  <cellStyleXfs count="5">
    <xf numFmtId="0" fontId="0" fillId="0" borderId="0"/>
    <xf numFmtId="43" fontId="2" fillId="0" borderId="0" applyFont="0" applyFill="0" applyBorder="0" applyAlignment="0" applyProtection="0"/>
    <xf numFmtId="0" fontId="3" fillId="0" borderId="0"/>
    <xf numFmtId="44" fontId="3" fillId="0" borderId="0" applyFont="0" applyFill="0" applyBorder="0" applyAlignment="0" applyProtection="0"/>
    <xf numFmtId="9" fontId="25" fillId="0" borderId="0" applyFont="0" applyFill="0" applyBorder="0" applyAlignment="0" applyProtection="0"/>
  </cellStyleXfs>
  <cellXfs count="166">
    <xf numFmtId="0" fontId="0" fillId="0" borderId="0" xfId="0"/>
    <xf numFmtId="0" fontId="1" fillId="0" borderId="0" xfId="0" applyFont="1"/>
    <xf numFmtId="0" fontId="4" fillId="0" borderId="0" xfId="0" applyFont="1"/>
    <xf numFmtId="0" fontId="8" fillId="0" borderId="0" xfId="0" applyFont="1"/>
    <xf numFmtId="0" fontId="8" fillId="0" borderId="0" xfId="0" applyFont="1" applyAlignment="1"/>
    <xf numFmtId="0" fontId="8" fillId="0" borderId="0" xfId="0" applyFont="1" applyAlignment="1" applyProtection="1">
      <protection locked="0"/>
    </xf>
    <xf numFmtId="0" fontId="10" fillId="0" borderId="0" xfId="0" applyFont="1" applyAlignment="1">
      <alignment horizontal="right"/>
    </xf>
    <xf numFmtId="42" fontId="8" fillId="0" borderId="0" xfId="0" applyNumberFormat="1" applyFont="1"/>
    <xf numFmtId="41" fontId="8" fillId="0" borderId="0" xfId="0" applyNumberFormat="1" applyFont="1"/>
    <xf numFmtId="41" fontId="8" fillId="0" borderId="5" xfId="1" applyNumberFormat="1" applyFont="1" applyBorder="1"/>
    <xf numFmtId="0" fontId="8" fillId="0" borderId="0" xfId="0" applyFont="1" applyAlignment="1">
      <alignment horizontal="center" vertical="center" wrapText="1"/>
    </xf>
    <xf numFmtId="42" fontId="8" fillId="0" borderId="0" xfId="1" applyNumberFormat="1" applyFont="1"/>
    <xf numFmtId="0" fontId="10" fillId="0" borderId="1" xfId="0" applyFont="1" applyBorder="1" applyAlignment="1">
      <alignment horizontal="center" vertical="center" wrapText="1"/>
    </xf>
    <xf numFmtId="0" fontId="10" fillId="0" borderId="1" xfId="0" applyFont="1" applyBorder="1" applyAlignment="1">
      <alignment horizontal="center" vertical="center"/>
    </xf>
    <xf numFmtId="0" fontId="10" fillId="0" borderId="10" xfId="0" applyFont="1" applyBorder="1" applyAlignment="1">
      <alignment horizontal="center" vertical="center"/>
    </xf>
    <xf numFmtId="0" fontId="10" fillId="0" borderId="11" xfId="0" applyFont="1" applyBorder="1" applyAlignment="1">
      <alignment horizontal="center" vertical="center"/>
    </xf>
    <xf numFmtId="0" fontId="11" fillId="0" borderId="6" xfId="0" applyFont="1" applyBorder="1" applyAlignment="1">
      <alignment horizontal="center" wrapText="1"/>
    </xf>
    <xf numFmtId="0" fontId="8" fillId="0" borderId="3" xfId="0" applyFont="1" applyBorder="1" applyProtection="1">
      <protection locked="0"/>
    </xf>
    <xf numFmtId="0" fontId="8" fillId="0" borderId="6" xfId="0" applyFont="1" applyBorder="1" applyProtection="1">
      <protection locked="0"/>
    </xf>
    <xf numFmtId="0" fontId="8" fillId="0" borderId="6" xfId="0" applyFont="1" applyBorder="1" applyAlignment="1">
      <alignment horizontal="center" wrapText="1"/>
    </xf>
    <xf numFmtId="0" fontId="8" fillId="0" borderId="3" xfId="0" applyFont="1" applyFill="1" applyBorder="1" applyAlignment="1" applyProtection="1">
      <alignment vertical="top" wrapText="1"/>
      <protection locked="0"/>
    </xf>
    <xf numFmtId="41" fontId="8" fillId="0" borderId="6" xfId="0" applyNumberFormat="1" applyFont="1" applyFill="1" applyBorder="1" applyAlignment="1" applyProtection="1">
      <alignment vertical="top"/>
      <protection locked="0"/>
    </xf>
    <xf numFmtId="41" fontId="8" fillId="0" borderId="6" xfId="0" applyNumberFormat="1" applyFont="1" applyBorder="1" applyAlignment="1" applyProtection="1">
      <alignment vertical="top"/>
      <protection locked="0"/>
    </xf>
    <xf numFmtId="0" fontId="8" fillId="0" borderId="4" xfId="0" applyFont="1" applyBorder="1"/>
    <xf numFmtId="41" fontId="8" fillId="0" borderId="7" xfId="0" applyNumberFormat="1" applyFont="1" applyBorder="1" applyAlignment="1" applyProtection="1">
      <alignment vertical="top"/>
      <protection locked="0"/>
    </xf>
    <xf numFmtId="0" fontId="8" fillId="0" borderId="7" xfId="0" applyFont="1" applyBorder="1"/>
    <xf numFmtId="0" fontId="8" fillId="0" borderId="5" xfId="0" applyFont="1" applyBorder="1"/>
    <xf numFmtId="0" fontId="10" fillId="0" borderId="5" xfId="0" applyFont="1" applyBorder="1"/>
    <xf numFmtId="42" fontId="10" fillId="0" borderId="7" xfId="0" applyNumberFormat="1" applyFont="1" applyBorder="1" applyAlignment="1"/>
    <xf numFmtId="42" fontId="10" fillId="0" borderId="9" xfId="0" applyNumberFormat="1" applyFont="1" applyBorder="1" applyAlignment="1"/>
    <xf numFmtId="0" fontId="10" fillId="0" borderId="0" xfId="0" applyFont="1"/>
    <xf numFmtId="0" fontId="10" fillId="0" borderId="1" xfId="0" applyFont="1" applyBorder="1" applyAlignment="1">
      <alignment horizontal="center" wrapText="1"/>
    </xf>
    <xf numFmtId="0" fontId="10" fillId="0" borderId="1" xfId="0" applyFont="1" applyBorder="1" applyAlignment="1">
      <alignment horizontal="center"/>
    </xf>
    <xf numFmtId="0" fontId="10" fillId="0" borderId="10" xfId="0" applyFont="1" applyBorder="1" applyAlignment="1">
      <alignment horizontal="center"/>
    </xf>
    <xf numFmtId="0" fontId="10" fillId="0" borderId="11" xfId="0" applyFont="1" applyBorder="1" applyAlignment="1">
      <alignment horizontal="center"/>
    </xf>
    <xf numFmtId="0" fontId="10" fillId="0" borderId="1" xfId="0" applyFont="1" applyFill="1" applyBorder="1" applyAlignment="1">
      <alignment horizontal="center" wrapText="1"/>
    </xf>
    <xf numFmtId="0" fontId="8" fillId="0" borderId="2" xfId="0" applyFont="1" applyBorder="1"/>
    <xf numFmtId="42" fontId="10" fillId="0" borderId="7" xfId="0" applyNumberFormat="1" applyFont="1" applyBorder="1" applyAlignment="1">
      <alignment vertical="top"/>
    </xf>
    <xf numFmtId="42" fontId="10" fillId="0" borderId="9" xfId="0" applyNumberFormat="1" applyFont="1" applyBorder="1" applyAlignment="1">
      <alignment vertical="top"/>
    </xf>
    <xf numFmtId="37" fontId="10" fillId="0" borderId="9" xfId="0" applyNumberFormat="1" applyFont="1" applyBorder="1" applyAlignment="1">
      <alignment vertical="top"/>
    </xf>
    <xf numFmtId="0" fontId="10" fillId="0" borderId="7" xfId="0" applyFont="1" applyBorder="1"/>
    <xf numFmtId="0" fontId="8" fillId="0" borderId="0" xfId="0" applyFont="1" applyAlignment="1">
      <alignment vertical="center"/>
    </xf>
    <xf numFmtId="0" fontId="11" fillId="0" borderId="2" xfId="0" applyFont="1" applyBorder="1" applyAlignment="1">
      <alignment horizontal="center" vertical="center" wrapText="1"/>
    </xf>
    <xf numFmtId="0" fontId="8" fillId="0" borderId="6" xfId="0" applyFont="1" applyBorder="1" applyAlignment="1">
      <alignment horizontal="center"/>
    </xf>
    <xf numFmtId="0" fontId="5" fillId="0" borderId="0" xfId="2" applyFont="1" applyFill="1" applyBorder="1" applyAlignment="1">
      <alignment horizontal="left" vertical="top"/>
    </xf>
    <xf numFmtId="0" fontId="5" fillId="0" borderId="0" xfId="0" applyFont="1" applyFill="1" applyBorder="1" applyAlignment="1">
      <alignment horizontal="left" vertical="top"/>
    </xf>
    <xf numFmtId="0" fontId="13" fillId="0" borderId="0" xfId="2" applyFont="1" applyFill="1" applyBorder="1" applyAlignment="1">
      <alignment horizontal="left" vertical="top"/>
    </xf>
    <xf numFmtId="164" fontId="14" fillId="0" borderId="0" xfId="2" applyNumberFormat="1" applyFont="1" applyFill="1" applyBorder="1" applyAlignment="1">
      <alignment horizontal="left" vertical="top" wrapText="1"/>
    </xf>
    <xf numFmtId="164" fontId="14" fillId="0" borderId="0" xfId="0" applyNumberFormat="1" applyFont="1" applyFill="1" applyBorder="1" applyAlignment="1">
      <alignment horizontal="left" vertical="top" wrapText="1"/>
    </xf>
    <xf numFmtId="0" fontId="13" fillId="0" borderId="0" xfId="2" applyFont="1" applyFill="1" applyBorder="1" applyAlignment="1">
      <alignment horizontal="center" vertical="top" wrapText="1"/>
    </xf>
    <xf numFmtId="0" fontId="13" fillId="0" borderId="0" xfId="0" applyFont="1" applyFill="1" applyBorder="1" applyAlignment="1">
      <alignment horizontal="left" vertical="top"/>
    </xf>
    <xf numFmtId="0" fontId="13" fillId="0" borderId="0" xfId="2" applyFont="1" applyFill="1" applyBorder="1" applyAlignment="1">
      <alignment horizontal="left" vertical="top" wrapText="1"/>
    </xf>
    <xf numFmtId="0" fontId="13" fillId="0" borderId="12" xfId="2" applyFont="1" applyFill="1" applyBorder="1" applyAlignment="1">
      <alignment horizontal="left" vertical="top" wrapText="1"/>
    </xf>
    <xf numFmtId="0" fontId="13" fillId="0" borderId="12" xfId="2" applyFont="1" applyFill="1" applyBorder="1" applyAlignment="1">
      <alignment vertical="top" wrapText="1"/>
    </xf>
    <xf numFmtId="0" fontId="5" fillId="0" borderId="0" xfId="2" applyFont="1" applyFill="1" applyBorder="1" applyAlignment="1">
      <alignment horizontal="left" vertical="top" wrapText="1"/>
    </xf>
    <xf numFmtId="0" fontId="5" fillId="0" borderId="0" xfId="0" applyFont="1" applyFill="1" applyBorder="1" applyAlignment="1">
      <alignment horizontal="left" vertical="top" wrapText="1"/>
    </xf>
    <xf numFmtId="0" fontId="5" fillId="0" borderId="0" xfId="2" applyFont="1" applyFill="1" applyBorder="1" applyAlignment="1">
      <alignment horizontal="left" vertical="top" wrapText="1" indent="3"/>
    </xf>
    <xf numFmtId="0" fontId="5" fillId="0" borderId="0" xfId="2" applyFont="1" applyFill="1" applyBorder="1" applyAlignment="1">
      <alignment vertical="top" wrapText="1"/>
    </xf>
    <xf numFmtId="0" fontId="13" fillId="0" borderId="0" xfId="2" applyFont="1" applyFill="1" applyBorder="1" applyAlignment="1">
      <alignment horizontal="left" vertical="top" wrapText="1" indent="3"/>
    </xf>
    <xf numFmtId="166" fontId="13" fillId="0" borderId="0" xfId="0" applyNumberFormat="1" applyFont="1" applyFill="1" applyBorder="1" applyAlignment="1">
      <alignment horizontal="right" vertical="top" wrapText="1"/>
    </xf>
    <xf numFmtId="166" fontId="13" fillId="0" borderId="0" xfId="2" applyNumberFormat="1" applyFont="1" applyFill="1" applyBorder="1" applyAlignment="1">
      <alignment horizontal="right" vertical="top" wrapText="1"/>
    </xf>
    <xf numFmtId="0" fontId="13" fillId="0" borderId="12" xfId="2" applyFont="1" applyFill="1" applyBorder="1" applyAlignment="1">
      <alignment horizontal="right" vertical="top" wrapText="1"/>
    </xf>
    <xf numFmtId="0" fontId="13" fillId="0" borderId="0" xfId="2" applyFont="1" applyFill="1" applyBorder="1" applyAlignment="1">
      <alignment horizontal="left"/>
    </xf>
    <xf numFmtId="0" fontId="16" fillId="0" borderId="0" xfId="2" applyFont="1" applyFill="1" applyBorder="1" applyAlignment="1">
      <alignment horizontal="left" vertical="top"/>
    </xf>
    <xf numFmtId="0" fontId="17" fillId="0" borderId="0" xfId="0" applyFont="1" applyFill="1" applyBorder="1" applyAlignment="1">
      <alignment horizontal="left" vertical="top"/>
    </xf>
    <xf numFmtId="0" fontId="6" fillId="0" borderId="0" xfId="2" applyFont="1" applyFill="1" applyBorder="1" applyAlignment="1">
      <alignment vertical="top" wrapText="1"/>
    </xf>
    <xf numFmtId="0" fontId="16" fillId="0" borderId="0" xfId="2" applyFont="1" applyFill="1" applyBorder="1" applyAlignment="1">
      <alignment vertical="top" wrapText="1"/>
    </xf>
    <xf numFmtId="0" fontId="13" fillId="0" borderId="12" xfId="0" applyFont="1" applyFill="1" applyBorder="1" applyAlignment="1">
      <alignment horizontal="right" vertical="top" wrapText="1"/>
    </xf>
    <xf numFmtId="165" fontId="13" fillId="0" borderId="0" xfId="3" applyNumberFormat="1" applyFont="1" applyFill="1" applyBorder="1" applyAlignment="1">
      <alignment horizontal="right" vertical="top" wrapText="1"/>
    </xf>
    <xf numFmtId="166" fontId="13" fillId="0" borderId="12" xfId="2" applyNumberFormat="1" applyFont="1" applyFill="1" applyBorder="1" applyAlignment="1">
      <alignment horizontal="right" vertical="top" wrapText="1"/>
    </xf>
    <xf numFmtId="0" fontId="5" fillId="0" borderId="0" xfId="0" applyFont="1" applyFill="1" applyBorder="1" applyAlignment="1">
      <alignment horizontal="right" vertical="top" wrapText="1"/>
    </xf>
    <xf numFmtId="41" fontId="13" fillId="0" borderId="0" xfId="3" applyNumberFormat="1" applyFont="1" applyFill="1" applyBorder="1" applyAlignment="1">
      <alignment horizontal="right" vertical="top" wrapText="1"/>
    </xf>
    <xf numFmtId="0" fontId="13" fillId="0" borderId="0" xfId="0" applyFont="1" applyFill="1" applyBorder="1" applyAlignment="1">
      <alignment horizontal="right" vertical="top"/>
    </xf>
    <xf numFmtId="0" fontId="13" fillId="0" borderId="0" xfId="2" applyFont="1" applyFill="1" applyBorder="1" applyAlignment="1">
      <alignment horizontal="right" vertical="top"/>
    </xf>
    <xf numFmtId="165" fontId="13" fillId="0" borderId="8" xfId="3" applyNumberFormat="1" applyFont="1" applyFill="1" applyBorder="1" applyAlignment="1">
      <alignment horizontal="right" vertical="top" wrapText="1"/>
    </xf>
    <xf numFmtId="0" fontId="13" fillId="0" borderId="0" xfId="0" applyFont="1" applyFill="1" applyBorder="1" applyAlignment="1">
      <alignment horizontal="right" vertical="top" wrapText="1"/>
    </xf>
    <xf numFmtId="166" fontId="13" fillId="0" borderId="12" xfId="0" applyNumberFormat="1" applyFont="1" applyFill="1" applyBorder="1" applyAlignment="1">
      <alignment horizontal="right" vertical="top" wrapText="1"/>
    </xf>
    <xf numFmtId="0" fontId="15" fillId="0" borderId="0" xfId="2" applyFont="1" applyFill="1" applyBorder="1" applyAlignment="1">
      <alignment horizontal="left" wrapText="1"/>
    </xf>
    <xf numFmtId="168" fontId="15" fillId="0" borderId="15" xfId="0" applyNumberFormat="1" applyFont="1" applyFill="1" applyBorder="1" applyAlignment="1">
      <alignment horizontal="right" wrapText="1"/>
    </xf>
    <xf numFmtId="168" fontId="15" fillId="0" borderId="15" xfId="2" applyNumberFormat="1" applyFont="1" applyFill="1" applyBorder="1" applyAlignment="1">
      <alignment horizontal="right" wrapText="1"/>
    </xf>
    <xf numFmtId="0" fontId="15" fillId="0" borderId="0" xfId="2" applyFont="1" applyFill="1" applyBorder="1" applyAlignment="1">
      <alignment horizontal="left" vertical="top" wrapText="1"/>
    </xf>
    <xf numFmtId="166" fontId="15" fillId="0" borderId="13" xfId="0" applyNumberFormat="1" applyFont="1" applyFill="1" applyBorder="1" applyAlignment="1">
      <alignment horizontal="right" vertical="top" wrapText="1"/>
    </xf>
    <xf numFmtId="166" fontId="15" fillId="0" borderId="13" xfId="2" applyNumberFormat="1" applyFont="1" applyFill="1" applyBorder="1" applyAlignment="1">
      <alignment horizontal="right" vertical="top" wrapText="1"/>
    </xf>
    <xf numFmtId="167" fontId="15" fillId="0" borderId="13" xfId="2" applyNumberFormat="1" applyFont="1" applyFill="1" applyBorder="1" applyAlignment="1">
      <alignment horizontal="right" vertical="top" wrapText="1"/>
    </xf>
    <xf numFmtId="41" fontId="15" fillId="0" borderId="13" xfId="3" applyNumberFormat="1" applyFont="1" applyFill="1" applyBorder="1" applyAlignment="1">
      <alignment horizontal="right" vertical="top" wrapText="1"/>
    </xf>
    <xf numFmtId="0" fontId="18" fillId="0" borderId="0" xfId="2" applyFont="1" applyFill="1" applyBorder="1" applyAlignment="1">
      <alignment vertical="top" wrapText="1"/>
    </xf>
    <xf numFmtId="166" fontId="15" fillId="0" borderId="14" xfId="0" applyNumberFormat="1" applyFont="1" applyFill="1" applyBorder="1" applyAlignment="1">
      <alignment horizontal="right" vertical="top" wrapText="1"/>
    </xf>
    <xf numFmtId="166" fontId="15" fillId="0" borderId="14" xfId="2" applyNumberFormat="1" applyFont="1" applyFill="1" applyBorder="1" applyAlignment="1">
      <alignment horizontal="right" vertical="top" wrapText="1"/>
    </xf>
    <xf numFmtId="167" fontId="15" fillId="0" borderId="14" xfId="2" applyNumberFormat="1" applyFont="1" applyFill="1" applyBorder="1" applyAlignment="1">
      <alignment horizontal="right" vertical="top" wrapText="1"/>
    </xf>
    <xf numFmtId="0" fontId="6" fillId="0" borderId="0" xfId="2" applyFont="1" applyFill="1" applyBorder="1" applyAlignment="1">
      <alignment horizontal="left" vertical="top" wrapText="1"/>
    </xf>
    <xf numFmtId="169" fontId="13" fillId="0" borderId="0" xfId="0" applyNumberFormat="1" applyFont="1" applyFill="1" applyBorder="1" applyAlignment="1">
      <alignment horizontal="right" vertical="top" wrapText="1"/>
    </xf>
    <xf numFmtId="164" fontId="19" fillId="0" borderId="0" xfId="2" applyNumberFormat="1" applyFont="1" applyFill="1" applyBorder="1" applyAlignment="1">
      <alignment horizontal="left" vertical="top" wrapText="1"/>
    </xf>
    <xf numFmtId="41" fontId="8" fillId="0" borderId="0" xfId="0" applyNumberFormat="1" applyFont="1" applyBorder="1"/>
    <xf numFmtId="41" fontId="8" fillId="0" borderId="5" xfId="0" applyNumberFormat="1" applyFont="1" applyBorder="1"/>
    <xf numFmtId="0" fontId="6" fillId="0" borderId="0" xfId="2" applyFont="1" applyFill="1" applyBorder="1" applyAlignment="1">
      <alignment horizontal="left" vertical="top"/>
    </xf>
    <xf numFmtId="170" fontId="8" fillId="0" borderId="0" xfId="0" applyNumberFormat="1" applyFont="1" applyAlignment="1" applyProtection="1">
      <alignment horizontal="left"/>
      <protection locked="0"/>
    </xf>
    <xf numFmtId="14" fontId="8" fillId="0" borderId="0" xfId="0" applyNumberFormat="1" applyFont="1" applyAlignment="1" applyProtection="1">
      <alignment horizontal="left"/>
      <protection locked="0"/>
    </xf>
    <xf numFmtId="0" fontId="8" fillId="0" borderId="0" xfId="0" applyFont="1" applyBorder="1" applyProtection="1">
      <protection locked="0"/>
    </xf>
    <xf numFmtId="42" fontId="8" fillId="0" borderId="6" xfId="0" applyNumberFormat="1" applyFont="1" applyBorder="1" applyProtection="1">
      <protection locked="0"/>
    </xf>
    <xf numFmtId="0" fontId="8" fillId="0" borderId="0" xfId="0" applyFont="1" applyFill="1" applyBorder="1" applyAlignment="1" applyProtection="1">
      <alignment vertical="top" wrapText="1"/>
      <protection locked="0"/>
    </xf>
    <xf numFmtId="0" fontId="8" fillId="0" borderId="4" xfId="0" applyFont="1" applyBorder="1" applyProtection="1">
      <protection locked="0"/>
    </xf>
    <xf numFmtId="0" fontId="8" fillId="0" borderId="6" xfId="0" applyFont="1" applyFill="1" applyBorder="1" applyAlignment="1" applyProtection="1">
      <alignment vertical="top" wrapText="1"/>
      <protection locked="0"/>
    </xf>
    <xf numFmtId="0" fontId="8" fillId="0" borderId="2" xfId="0" applyFont="1" applyFill="1" applyBorder="1" applyAlignment="1" applyProtection="1">
      <alignment horizontal="center" vertical="top"/>
      <protection locked="0"/>
    </xf>
    <xf numFmtId="0" fontId="8" fillId="0" borderId="2" xfId="0" applyFont="1" applyBorder="1" applyProtection="1">
      <protection locked="0"/>
    </xf>
    <xf numFmtId="0" fontId="8" fillId="0" borderId="5" xfId="0" applyFont="1" applyBorder="1" applyProtection="1">
      <protection locked="0"/>
    </xf>
    <xf numFmtId="0" fontId="8" fillId="0" borderId="3" xfId="0" applyFont="1" applyBorder="1" applyAlignment="1" applyProtection="1">
      <alignment wrapText="1"/>
      <protection locked="0"/>
    </xf>
    <xf numFmtId="0" fontId="8" fillId="0" borderId="6" xfId="0" applyFont="1" applyBorder="1" applyAlignment="1" applyProtection="1">
      <alignment wrapText="1"/>
      <protection locked="0"/>
    </xf>
    <xf numFmtId="0" fontId="8" fillId="0" borderId="0" xfId="0" applyFont="1" applyBorder="1" applyAlignment="1" applyProtection="1">
      <alignment wrapText="1"/>
      <protection locked="0"/>
    </xf>
    <xf numFmtId="0" fontId="8" fillId="0" borderId="3" xfId="0" applyFont="1" applyBorder="1"/>
    <xf numFmtId="0" fontId="8" fillId="0" borderId="9" xfId="0" applyFont="1" applyBorder="1"/>
    <xf numFmtId="0" fontId="8" fillId="0" borderId="6" xfId="0" applyFont="1" applyBorder="1" applyAlignment="1">
      <alignment wrapText="1"/>
    </xf>
    <xf numFmtId="0" fontId="8" fillId="0" borderId="7" xfId="0" applyFont="1" applyBorder="1" applyAlignment="1">
      <alignment wrapText="1"/>
    </xf>
    <xf numFmtId="0" fontId="8" fillId="0" borderId="1" xfId="0" applyFont="1" applyBorder="1"/>
    <xf numFmtId="0" fontId="8" fillId="0" borderId="1" xfId="0" applyFont="1" applyBorder="1" applyAlignment="1">
      <alignment wrapText="1"/>
    </xf>
    <xf numFmtId="41" fontId="8" fillId="0" borderId="3" xfId="0" applyNumberFormat="1" applyFont="1" applyBorder="1" applyAlignment="1" applyProtection="1">
      <alignment horizontal="center" vertical="center"/>
      <protection locked="0"/>
    </xf>
    <xf numFmtId="0" fontId="8" fillId="0" borderId="3" xfId="0" applyFont="1" applyBorder="1" applyAlignment="1" applyProtection="1">
      <alignment horizontal="center" vertical="center"/>
      <protection locked="0"/>
    </xf>
    <xf numFmtId="0" fontId="8" fillId="0" borderId="6" xfId="0" applyFont="1" applyBorder="1" applyAlignment="1" applyProtection="1">
      <alignment horizontal="center" vertical="center"/>
      <protection locked="0"/>
    </xf>
    <xf numFmtId="41" fontId="8" fillId="0" borderId="3" xfId="0" applyNumberFormat="1" applyFont="1" applyFill="1" applyBorder="1" applyAlignment="1" applyProtection="1">
      <alignment horizontal="center" vertical="center"/>
      <protection locked="0"/>
    </xf>
    <xf numFmtId="37" fontId="8" fillId="0" borderId="3" xfId="0" applyNumberFormat="1" applyFont="1" applyFill="1" applyBorder="1" applyAlignment="1" applyProtection="1">
      <alignment horizontal="center" vertical="center"/>
      <protection locked="0"/>
    </xf>
    <xf numFmtId="37" fontId="8" fillId="0" borderId="3" xfId="0" applyNumberFormat="1" applyFont="1" applyBorder="1" applyAlignment="1" applyProtection="1">
      <alignment horizontal="center" vertical="center"/>
      <protection locked="0"/>
    </xf>
    <xf numFmtId="41" fontId="8" fillId="3" borderId="1" xfId="0" applyNumberFormat="1" applyFont="1" applyFill="1" applyBorder="1" applyAlignment="1" applyProtection="1">
      <alignment horizontal="center" vertical="center"/>
      <protection locked="0"/>
    </xf>
    <xf numFmtId="17" fontId="8" fillId="0" borderId="6" xfId="0" applyNumberFormat="1" applyFont="1" applyBorder="1" applyAlignment="1">
      <alignment horizontal="center" vertical="center"/>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0" xfId="0" applyFont="1" applyBorder="1"/>
    <xf numFmtId="0" fontId="24" fillId="0" borderId="0" xfId="0" applyFont="1"/>
    <xf numFmtId="171" fontId="8" fillId="0" borderId="3" xfId="1" applyNumberFormat="1" applyFont="1" applyBorder="1" applyAlignment="1">
      <alignment horizontal="center" vertical="center"/>
    </xf>
    <xf numFmtId="171" fontId="8" fillId="0" borderId="9" xfId="1" applyNumberFormat="1" applyFont="1" applyBorder="1" applyAlignment="1">
      <alignment horizontal="center" vertical="center"/>
    </xf>
    <xf numFmtId="171" fontId="8" fillId="0" borderId="1" xfId="1" applyNumberFormat="1" applyFont="1" applyBorder="1"/>
    <xf numFmtId="17" fontId="8" fillId="0" borderId="7" xfId="0" applyNumberFormat="1" applyFont="1" applyBorder="1" applyAlignment="1">
      <alignment horizontal="center" vertical="center"/>
    </xf>
    <xf numFmtId="171" fontId="8" fillId="0" borderId="6" xfId="1" applyNumberFormat="1" applyFont="1" applyBorder="1"/>
    <xf numFmtId="0" fontId="8" fillId="0" borderId="1" xfId="0" applyFont="1" applyBorder="1" applyAlignment="1">
      <alignment horizontal="right" wrapText="1"/>
    </xf>
    <xf numFmtId="17" fontId="8" fillId="0" borderId="3" xfId="0" applyNumberFormat="1" applyFont="1" applyFill="1" applyBorder="1" applyAlignment="1" applyProtection="1">
      <alignment horizontal="center" vertical="center"/>
      <protection locked="0"/>
    </xf>
    <xf numFmtId="0" fontId="8" fillId="0" borderId="6" xfId="0" applyFont="1" applyFill="1" applyBorder="1" applyAlignment="1" applyProtection="1">
      <alignment horizontal="center" vertical="center"/>
      <protection locked="0"/>
    </xf>
    <xf numFmtId="0" fontId="8" fillId="0" borderId="6" xfId="0" applyFont="1" applyFill="1" applyBorder="1" applyAlignment="1" applyProtection="1">
      <alignment horizontal="center" vertical="center" wrapText="1"/>
      <protection locked="0"/>
    </xf>
    <xf numFmtId="0" fontId="8" fillId="0" borderId="3" xfId="0" applyNumberFormat="1" applyFont="1" applyFill="1" applyBorder="1" applyAlignment="1" applyProtection="1">
      <alignment horizontal="center" vertical="center"/>
      <protection locked="0"/>
    </xf>
    <xf numFmtId="0" fontId="8" fillId="0" borderId="6" xfId="0" applyFont="1" applyFill="1" applyBorder="1" applyAlignment="1" applyProtection="1">
      <alignment wrapText="1"/>
      <protection locked="0"/>
    </xf>
    <xf numFmtId="9" fontId="8" fillId="0" borderId="0" xfId="0" applyNumberFormat="1" applyFont="1"/>
    <xf numFmtId="0" fontId="8" fillId="0" borderId="1" xfId="0" applyFont="1" applyBorder="1" applyAlignment="1">
      <alignment horizontal="center" vertical="center"/>
    </xf>
    <xf numFmtId="41" fontId="8" fillId="0" borderId="1" xfId="0" applyNumberFormat="1" applyFont="1" applyBorder="1" applyAlignment="1" applyProtection="1">
      <alignment horizontal="center" vertical="center"/>
      <protection locked="0"/>
    </xf>
    <xf numFmtId="43" fontId="8" fillId="0" borderId="1" xfId="1" applyFont="1" applyBorder="1" applyAlignment="1">
      <alignment horizontal="center" vertical="center" wrapText="1"/>
    </xf>
    <xf numFmtId="43" fontId="8" fillId="0" borderId="1" xfId="0" applyNumberFormat="1" applyFont="1" applyBorder="1" applyAlignment="1">
      <alignment horizontal="center" vertical="center"/>
    </xf>
    <xf numFmtId="43" fontId="8" fillId="0" borderId="1" xfId="1" applyFont="1" applyBorder="1" applyAlignment="1">
      <alignment horizontal="center" vertical="center"/>
    </xf>
    <xf numFmtId="17" fontId="8" fillId="0" borderId="6" xfId="0" applyNumberFormat="1" applyFont="1" applyFill="1" applyBorder="1" applyAlignment="1">
      <alignment horizontal="center" vertical="center"/>
    </xf>
    <xf numFmtId="41" fontId="8" fillId="0" borderId="6" xfId="0" applyNumberFormat="1" applyFont="1" applyBorder="1" applyAlignment="1" applyProtection="1">
      <alignment horizontal="center" vertical="center"/>
      <protection locked="0"/>
    </xf>
    <xf numFmtId="41" fontId="8" fillId="0" borderId="7" xfId="0" applyNumberFormat="1" applyFont="1" applyBorder="1" applyAlignment="1" applyProtection="1">
      <alignment horizontal="center" vertical="center"/>
      <protection locked="0"/>
    </xf>
    <xf numFmtId="41" fontId="8" fillId="0" borderId="6" xfId="0" applyNumberFormat="1" applyFont="1" applyFill="1" applyBorder="1" applyAlignment="1" applyProtection="1">
      <alignment horizontal="center" vertical="center"/>
      <protection locked="0"/>
    </xf>
    <xf numFmtId="0" fontId="8" fillId="0" borderId="1" xfId="0" applyFont="1" applyBorder="1" applyAlignment="1">
      <alignment horizontal="center" vertical="center" wrapText="1"/>
    </xf>
    <xf numFmtId="171" fontId="8" fillId="0" borderId="3" xfId="1" applyNumberFormat="1" applyFont="1" applyFill="1" applyBorder="1" applyAlignment="1">
      <alignment horizontal="center" vertical="center"/>
    </xf>
    <xf numFmtId="14" fontId="8" fillId="0" borderId="0" xfId="0" applyNumberFormat="1" applyFont="1" applyAlignment="1">
      <alignment horizontal="left"/>
    </xf>
    <xf numFmtId="0" fontId="7" fillId="2" borderId="0" xfId="0" applyFont="1" applyFill="1" applyAlignment="1">
      <alignment horizontal="center"/>
    </xf>
    <xf numFmtId="0" fontId="8" fillId="3" borderId="10" xfId="0" applyFont="1" applyFill="1" applyBorder="1" applyAlignment="1">
      <alignment horizontal="left" wrapText="1"/>
    </xf>
    <xf numFmtId="0" fontId="8" fillId="3" borderId="18" xfId="0" applyFont="1" applyFill="1" applyBorder="1" applyAlignment="1">
      <alignment horizontal="left" wrapText="1"/>
    </xf>
    <xf numFmtId="0" fontId="8" fillId="3" borderId="11" xfId="0" applyFont="1" applyFill="1" applyBorder="1" applyAlignment="1">
      <alignment horizontal="left" wrapText="1"/>
    </xf>
    <xf numFmtId="0" fontId="1" fillId="3" borderId="17" xfId="0" applyFont="1" applyFill="1" applyBorder="1" applyAlignment="1">
      <alignment horizontal="left" wrapText="1"/>
    </xf>
    <xf numFmtId="0" fontId="1" fillId="3" borderId="8" xfId="0" applyFont="1" applyFill="1" applyBorder="1" applyAlignment="1">
      <alignment horizontal="left" wrapText="1"/>
    </xf>
    <xf numFmtId="0" fontId="1" fillId="3" borderId="16" xfId="0" applyFont="1" applyFill="1" applyBorder="1" applyAlignment="1">
      <alignment horizontal="left" wrapText="1"/>
    </xf>
    <xf numFmtId="0" fontId="1" fillId="3" borderId="2" xfId="0" applyFont="1" applyFill="1" applyBorder="1" applyAlignment="1">
      <alignment horizontal="left" wrapText="1"/>
    </xf>
    <xf numFmtId="0" fontId="1" fillId="3" borderId="0" xfId="0" applyFont="1" applyFill="1" applyBorder="1" applyAlignment="1">
      <alignment horizontal="left" wrapText="1"/>
    </xf>
    <xf numFmtId="0" fontId="1" fillId="3" borderId="3" xfId="0" applyFont="1" applyFill="1" applyBorder="1" applyAlignment="1">
      <alignment horizontal="left" wrapText="1"/>
    </xf>
    <xf numFmtId="0" fontId="1" fillId="3" borderId="4" xfId="0" applyFont="1" applyFill="1" applyBorder="1" applyAlignment="1">
      <alignment horizontal="left" wrapText="1"/>
    </xf>
    <xf numFmtId="0" fontId="1" fillId="3" borderId="5" xfId="0" applyFont="1" applyFill="1" applyBorder="1" applyAlignment="1">
      <alignment horizontal="left" wrapText="1"/>
    </xf>
    <xf numFmtId="0" fontId="1" fillId="3" borderId="9" xfId="0" applyFont="1" applyFill="1" applyBorder="1" applyAlignment="1">
      <alignment horizontal="left" wrapText="1"/>
    </xf>
    <xf numFmtId="0" fontId="12" fillId="2" borderId="0" xfId="0" applyFont="1" applyFill="1" applyAlignment="1">
      <alignment horizontal="center"/>
    </xf>
    <xf numFmtId="0" fontId="6" fillId="0" borderId="0" xfId="2" applyFont="1" applyFill="1" applyBorder="1" applyAlignment="1">
      <alignment horizontal="left" vertical="top" wrapText="1"/>
    </xf>
    <xf numFmtId="9" fontId="8" fillId="0" borderId="0" xfId="4" applyFont="1"/>
  </cellXfs>
  <cellStyles count="5">
    <cellStyle name="Comma" xfId="1" builtinId="3"/>
    <cellStyle name="Currency 2" xfId="3"/>
    <cellStyle name="Normal" xfId="0" builtinId="0"/>
    <cellStyle name="Normal 2" xfId="2"/>
    <cellStyle name="Percent" xfId="4" builtinId="5"/>
  </cellStyles>
  <dxfs count="10">
    <dxf>
      <font>
        <strike val="0"/>
        <outline val="0"/>
        <shadow val="0"/>
        <u val="none"/>
        <vertAlign val="baseline"/>
        <sz val="9"/>
      </font>
    </dxf>
    <dxf>
      <font>
        <strike val="0"/>
        <outline val="0"/>
        <shadow val="0"/>
        <u val="none"/>
        <vertAlign val="baseline"/>
        <sz val="9"/>
      </font>
    </dxf>
    <dxf>
      <font>
        <strike val="0"/>
        <outline val="0"/>
        <shadow val="0"/>
        <u val="none"/>
        <vertAlign val="baseline"/>
        <sz val="9"/>
      </font>
    </dxf>
    <dxf>
      <font>
        <strike val="0"/>
        <outline val="0"/>
        <shadow val="0"/>
        <u val="none"/>
        <vertAlign val="baseline"/>
        <sz val="9"/>
      </font>
    </dxf>
    <dxf>
      <font>
        <strike val="0"/>
        <outline val="0"/>
        <shadow val="0"/>
        <u val="none"/>
        <vertAlign val="baseline"/>
        <sz val="9"/>
      </font>
    </dxf>
    <dxf>
      <font>
        <strike val="0"/>
        <outline val="0"/>
        <shadow val="0"/>
        <u val="none"/>
        <vertAlign val="baseline"/>
        <sz val="9"/>
      </font>
    </dxf>
    <dxf>
      <font>
        <strike val="0"/>
        <outline val="0"/>
        <shadow val="0"/>
        <u val="none"/>
        <vertAlign val="baseline"/>
        <sz val="9"/>
      </font>
    </dxf>
    <dxf>
      <font>
        <strike val="0"/>
        <outline val="0"/>
        <shadow val="0"/>
        <u val="none"/>
        <vertAlign val="baseline"/>
        <sz val="9"/>
      </font>
    </dxf>
    <dxf>
      <font>
        <strike val="0"/>
        <outline val="0"/>
        <shadow val="0"/>
        <u val="none"/>
        <vertAlign val="baseline"/>
        <sz val="9"/>
      </font>
    </dxf>
    <dxf>
      <font>
        <b val="0"/>
        <i val="0"/>
        <strike val="0"/>
        <condense val="0"/>
        <extend val="0"/>
        <outline val="0"/>
        <shadow val="0"/>
        <u val="none"/>
        <vertAlign val="baseline"/>
        <sz val="9"/>
        <color rgb="FF000000"/>
        <name val="Century Gothic"/>
        <scheme val="minor"/>
      </font>
      <fill>
        <patternFill patternType="none">
          <fgColor indexed="64"/>
          <bgColor indexed="65"/>
        </patternFill>
      </fill>
      <alignment horizontal="left" vertical="top" textRotation="0" wrapText="1" indent="0" justifyLastLine="0" shrinkToFit="0" readingOrder="0"/>
    </dxf>
  </dxfs>
  <tableStyles count="0" defaultTableStyle="TableStyleMedium9" defaultPivotStyle="PivotStyleLight16"/>
  <colors>
    <mruColors>
      <color rgb="FF004EBC"/>
      <color rgb="FF00A7CE"/>
      <color rgb="FF000099"/>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png"/></Relationships>
</file>

<file path=xl/tables/table1.xml><?xml version="1.0" encoding="utf-8"?>
<table xmlns="http://schemas.openxmlformats.org/spreadsheetml/2006/main" id="1" name="Table1" displayName="Table1" ref="A5:H49" totalsRowShown="0" headerRowDxfId="9" dataDxfId="8" headerRowCellStyle="Normal 2">
  <tableColumns count="8">
    <tableColumn id="1" name="Column1" dataDxfId="7"/>
    <tableColumn id="2" name="Audited Balance FY17 (Revised)³" dataDxfId="6"/>
    <tableColumn id="3" name="FY 2017/18" dataDxfId="5"/>
    <tableColumn id="4" name="FY 2018/19" dataDxfId="4"/>
    <tableColumn id="5" name="FY 2019/20" dataDxfId="3"/>
    <tableColumn id="6" name="FY 2020/21" dataDxfId="2"/>
    <tableColumn id="7" name="FY 2021/22" dataDxfId="1"/>
    <tableColumn id="8" name="FY 2022/23" dataDxfId="0"/>
  </tableColumns>
  <tableStyleInfo name="TableStyleLight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entury Gothic">
      <a:majorFont>
        <a:latin typeface="Century Gothic" panose="020F0302020204030204"/>
        <a:ea typeface=""/>
        <a:cs typeface=""/>
        <a:font script="Jpan" typeface="メイリオ"/>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entury Gothic" panose="020F03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47"/>
  <sheetViews>
    <sheetView tabSelected="1" showRuler="0" view="pageBreakPreview" zoomScaleNormal="100" zoomScaleSheetLayoutView="100" workbookViewId="0">
      <selection activeCell="P5" sqref="P5"/>
    </sheetView>
  </sheetViews>
  <sheetFormatPr defaultRowHeight="13.5" x14ac:dyDescent="0.25"/>
  <cols>
    <col min="1" max="1" width="12.5703125" style="3" customWidth="1"/>
    <col min="2" max="2" width="30" style="3" customWidth="1"/>
    <col min="3" max="3" width="1.7109375" style="3" customWidth="1"/>
    <col min="4" max="4" width="20" style="3" customWidth="1"/>
    <col min="5" max="5" width="15.42578125" style="3" customWidth="1"/>
    <col min="6" max="6" width="14.7109375" style="3" customWidth="1"/>
    <col min="7" max="7" width="9.28515625" style="3" hidden="1" customWidth="1"/>
    <col min="8" max="8" width="13.5703125" style="3" hidden="1" customWidth="1"/>
    <col min="9" max="9" width="18" style="3" hidden="1" customWidth="1"/>
    <col min="10" max="11" width="18.5703125" style="3" hidden="1" customWidth="1"/>
    <col min="12" max="12" width="20.5703125" style="3" hidden="1" customWidth="1"/>
    <col min="13" max="14" width="0" style="3" hidden="1" customWidth="1"/>
    <col min="15" max="16384" width="9.140625" style="3"/>
  </cols>
  <sheetData>
    <row r="1" spans="1:12" ht="17.25" x14ac:dyDescent="0.3">
      <c r="A1" s="150" t="s">
        <v>101</v>
      </c>
      <c r="B1" s="150"/>
      <c r="C1" s="150"/>
      <c r="D1" s="150"/>
      <c r="E1" s="150"/>
      <c r="F1" s="150"/>
    </row>
    <row r="3" spans="1:12" ht="18" customHeight="1" x14ac:dyDescent="0.25">
      <c r="A3" s="4" t="s">
        <v>72</v>
      </c>
      <c r="B3" s="5" t="s">
        <v>48</v>
      </c>
      <c r="C3" s="4"/>
    </row>
    <row r="4" spans="1:12" ht="18" customHeight="1" x14ac:dyDescent="0.25">
      <c r="A4" s="3" t="s">
        <v>73</v>
      </c>
      <c r="B4" s="5" t="s">
        <v>132</v>
      </c>
    </row>
    <row r="5" spans="1:12" ht="18" customHeight="1" x14ac:dyDescent="0.25">
      <c r="A5" s="4" t="s">
        <v>74</v>
      </c>
      <c r="B5" s="95" t="s">
        <v>133</v>
      </c>
      <c r="C5" s="4"/>
      <c r="D5" s="4"/>
    </row>
    <row r="6" spans="1:12" ht="18" customHeight="1" x14ac:dyDescent="0.25">
      <c r="A6" s="4" t="s">
        <v>76</v>
      </c>
      <c r="B6" s="96">
        <v>43185</v>
      </c>
      <c r="C6" s="4"/>
    </row>
    <row r="7" spans="1:12" ht="18" customHeight="1" x14ac:dyDescent="0.25">
      <c r="E7" s="6" t="s">
        <v>102</v>
      </c>
      <c r="F7" s="7">
        <f>VLOOKUP(B3,Projections!$A$7:$B$49,2,0)</f>
        <v>5135340</v>
      </c>
    </row>
    <row r="8" spans="1:12" ht="18" customHeight="1" x14ac:dyDescent="0.25">
      <c r="E8" s="6" t="s">
        <v>126</v>
      </c>
      <c r="F8" s="92">
        <f>VLOOKUP(B3,Projections!$A$7:$C$49,3,0)</f>
        <v>3912000</v>
      </c>
    </row>
    <row r="9" spans="1:12" ht="18" customHeight="1" x14ac:dyDescent="0.25">
      <c r="E9" s="6" t="s">
        <v>127</v>
      </c>
      <c r="F9" s="93">
        <f>'Project Status Report FY17-18'!F41</f>
        <v>5547466.5000000009</v>
      </c>
    </row>
    <row r="10" spans="1:12" ht="18" customHeight="1" x14ac:dyDescent="0.25">
      <c r="E10" s="6" t="s">
        <v>3</v>
      </c>
      <c r="F10" s="8">
        <f>F7+F8-F9</f>
        <v>3499873.4999999991</v>
      </c>
    </row>
    <row r="11" spans="1:12" ht="18" customHeight="1" x14ac:dyDescent="0.25">
      <c r="E11" s="6" t="s">
        <v>103</v>
      </c>
      <c r="F11" s="9">
        <f>VLOOKUP(B3,Projections!$A$7:$D$49,4,0)</f>
        <v>4025000</v>
      </c>
    </row>
    <row r="12" spans="1:12" ht="18" customHeight="1" x14ac:dyDescent="0.25">
      <c r="A12" s="10"/>
      <c r="E12" s="6" t="s">
        <v>104</v>
      </c>
      <c r="F12" s="11">
        <f>SUM(F10:F11)</f>
        <v>7524873.4999999991</v>
      </c>
    </row>
    <row r="13" spans="1:12" ht="18" customHeight="1" x14ac:dyDescent="0.25"/>
    <row r="14" spans="1:12" ht="27" customHeight="1" x14ac:dyDescent="0.25">
      <c r="A14" s="12" t="s">
        <v>70</v>
      </c>
      <c r="B14" s="13" t="s">
        <v>0</v>
      </c>
      <c r="C14" s="14"/>
      <c r="D14" s="15" t="s">
        <v>1</v>
      </c>
      <c r="E14" s="12" t="s">
        <v>111</v>
      </c>
      <c r="F14" s="12" t="s">
        <v>4</v>
      </c>
      <c r="G14" s="112" t="s">
        <v>178</v>
      </c>
      <c r="H14" s="113" t="s">
        <v>245</v>
      </c>
      <c r="I14" s="113" t="s">
        <v>268</v>
      </c>
      <c r="J14" s="113" t="s">
        <v>258</v>
      </c>
      <c r="K14" s="113" t="s">
        <v>259</v>
      </c>
      <c r="L14" s="113" t="s">
        <v>246</v>
      </c>
    </row>
    <row r="15" spans="1:12" ht="18" customHeight="1" x14ac:dyDescent="0.25">
      <c r="A15" s="16" t="s">
        <v>112</v>
      </c>
      <c r="B15" s="17"/>
      <c r="C15" s="97"/>
      <c r="D15" s="97"/>
      <c r="E15" s="18"/>
      <c r="F15" s="17"/>
    </row>
    <row r="16" spans="1:12" ht="27" x14ac:dyDescent="0.25">
      <c r="A16" s="19" t="s">
        <v>11</v>
      </c>
      <c r="B16" s="105" t="s">
        <v>136</v>
      </c>
      <c r="C16" s="97"/>
      <c r="D16" s="97" t="s">
        <v>137</v>
      </c>
      <c r="E16" s="98">
        <v>263654</v>
      </c>
      <c r="F16" s="98">
        <v>263654</v>
      </c>
    </row>
    <row r="17" spans="1:15" ht="18" customHeight="1" x14ac:dyDescent="0.25">
      <c r="A17" s="19" t="s">
        <v>12</v>
      </c>
      <c r="B17" s="20" t="s">
        <v>134</v>
      </c>
      <c r="C17" s="99"/>
      <c r="D17" s="99" t="s">
        <v>138</v>
      </c>
      <c r="E17" s="21">
        <v>1223250</v>
      </c>
      <c r="F17" s="21">
        <v>1223250</v>
      </c>
    </row>
    <row r="18" spans="1:15" ht="18" customHeight="1" x14ac:dyDescent="0.25">
      <c r="A18" s="19" t="s">
        <v>13</v>
      </c>
      <c r="B18" s="17" t="s">
        <v>135</v>
      </c>
      <c r="C18" s="97"/>
      <c r="D18" s="97" t="s">
        <v>138</v>
      </c>
      <c r="E18" s="22">
        <v>496261</v>
      </c>
      <c r="F18" s="22">
        <v>496261</v>
      </c>
    </row>
    <row r="19" spans="1:15" ht="30.75" customHeight="1" x14ac:dyDescent="0.25">
      <c r="A19" s="19" t="s">
        <v>14</v>
      </c>
      <c r="B19" s="105" t="s">
        <v>139</v>
      </c>
      <c r="C19" s="97"/>
      <c r="D19" s="97" t="s">
        <v>141</v>
      </c>
      <c r="E19" s="22">
        <v>1055000</v>
      </c>
      <c r="F19" s="22">
        <v>1055000</v>
      </c>
    </row>
    <row r="20" spans="1:15" ht="18" customHeight="1" x14ac:dyDescent="0.25">
      <c r="A20" s="19" t="s">
        <v>15</v>
      </c>
      <c r="B20" s="17" t="s">
        <v>140</v>
      </c>
      <c r="C20" s="97"/>
      <c r="D20" s="97" t="s">
        <v>141</v>
      </c>
      <c r="E20" s="22">
        <v>1491000</v>
      </c>
      <c r="F20" s="22">
        <v>1491000</v>
      </c>
    </row>
    <row r="21" spans="1:15" ht="27" x14ac:dyDescent="0.25">
      <c r="A21" s="43" t="s">
        <v>16</v>
      </c>
      <c r="B21" s="110" t="s">
        <v>170</v>
      </c>
      <c r="C21" s="36"/>
      <c r="D21" s="124" t="s">
        <v>144</v>
      </c>
      <c r="E21" s="130">
        <v>175911</v>
      </c>
      <c r="F21" s="130">
        <f>E21*10%</f>
        <v>17591.100000000002</v>
      </c>
      <c r="G21" s="112" t="s">
        <v>201</v>
      </c>
      <c r="H21" s="128">
        <v>586370</v>
      </c>
      <c r="I21" s="128">
        <v>19014.78</v>
      </c>
      <c r="J21" s="112" t="s">
        <v>260</v>
      </c>
      <c r="K21" s="112"/>
      <c r="L21" s="112" t="s">
        <v>254</v>
      </c>
      <c r="M21" s="3" t="s">
        <v>261</v>
      </c>
      <c r="N21" s="3" t="s">
        <v>275</v>
      </c>
      <c r="O21" s="137"/>
    </row>
    <row r="22" spans="1:15" ht="27" x14ac:dyDescent="0.25">
      <c r="A22" s="19" t="s">
        <v>17</v>
      </c>
      <c r="B22" s="106" t="s">
        <v>145</v>
      </c>
      <c r="C22" s="97"/>
      <c r="D22" s="97" t="s">
        <v>144</v>
      </c>
      <c r="E22" s="21">
        <v>790000</v>
      </c>
      <c r="F22" s="22">
        <f>L22*10%</f>
        <v>6684.8</v>
      </c>
      <c r="G22" s="138" t="s">
        <v>187</v>
      </c>
      <c r="H22" s="139">
        <v>1049328</v>
      </c>
      <c r="I22" s="139">
        <v>769093.7</v>
      </c>
      <c r="J22" s="140">
        <v>766848</v>
      </c>
      <c r="K22" s="120">
        <v>700000</v>
      </c>
      <c r="L22" s="141">
        <f>J22-K22</f>
        <v>66848</v>
      </c>
      <c r="M22" s="3" t="s">
        <v>263</v>
      </c>
      <c r="N22" s="3" t="s">
        <v>269</v>
      </c>
    </row>
    <row r="23" spans="1:15" ht="27" x14ac:dyDescent="0.25">
      <c r="A23" s="19" t="s">
        <v>18</v>
      </c>
      <c r="B23" s="106" t="s">
        <v>146</v>
      </c>
      <c r="C23" s="97"/>
      <c r="D23" s="97" t="s">
        <v>144</v>
      </c>
      <c r="E23" s="21">
        <v>303964</v>
      </c>
      <c r="F23" s="22">
        <f>L23</f>
        <v>223964</v>
      </c>
      <c r="G23" s="138" t="s">
        <v>180</v>
      </c>
      <c r="H23" s="139">
        <v>440964</v>
      </c>
      <c r="I23" s="139">
        <v>9431.8799999999992</v>
      </c>
      <c r="J23" s="142">
        <v>240964</v>
      </c>
      <c r="K23" s="120">
        <v>17000</v>
      </c>
      <c r="L23" s="141">
        <f t="shared" ref="L23:L42" si="0">J23-K23</f>
        <v>223964</v>
      </c>
      <c r="M23" s="3" t="s">
        <v>264</v>
      </c>
    </row>
    <row r="24" spans="1:15" ht="40.5" x14ac:dyDescent="0.25">
      <c r="A24" s="19" t="s">
        <v>228</v>
      </c>
      <c r="B24" s="106" t="s">
        <v>147</v>
      </c>
      <c r="C24" s="97"/>
      <c r="D24" s="107" t="s">
        <v>166</v>
      </c>
      <c r="E24" s="22">
        <f>109755-25000</f>
        <v>84755</v>
      </c>
      <c r="F24" s="22">
        <f>L24*50%</f>
        <v>42377.5</v>
      </c>
      <c r="G24" s="138" t="s">
        <v>188</v>
      </c>
      <c r="H24" s="139">
        <v>109755</v>
      </c>
      <c r="I24" s="139">
        <v>72.25</v>
      </c>
      <c r="J24" s="140">
        <v>109755</v>
      </c>
      <c r="K24" s="120">
        <v>25000</v>
      </c>
      <c r="L24" s="141">
        <f t="shared" si="0"/>
        <v>84755</v>
      </c>
      <c r="M24" s="3" t="s">
        <v>265</v>
      </c>
    </row>
    <row r="25" spans="1:15" ht="27" x14ac:dyDescent="0.25">
      <c r="A25" s="19" t="s">
        <v>229</v>
      </c>
      <c r="B25" s="106" t="s">
        <v>148</v>
      </c>
      <c r="C25" s="97"/>
      <c r="D25" s="97" t="s">
        <v>144</v>
      </c>
      <c r="E25" s="21">
        <v>223596</v>
      </c>
      <c r="F25" s="22">
        <f t="shared" ref="F25:F32" si="1">L25</f>
        <v>223596</v>
      </c>
      <c r="G25" s="138" t="s">
        <v>177</v>
      </c>
      <c r="H25" s="139">
        <v>263596</v>
      </c>
      <c r="I25" s="139">
        <v>28322.51</v>
      </c>
      <c r="J25" s="142">
        <v>263596</v>
      </c>
      <c r="K25" s="120">
        <v>40000</v>
      </c>
      <c r="L25" s="141">
        <f t="shared" si="0"/>
        <v>223596</v>
      </c>
      <c r="M25" s="3" t="s">
        <v>266</v>
      </c>
    </row>
    <row r="26" spans="1:15" ht="40.5" x14ac:dyDescent="0.25">
      <c r="A26" s="19" t="s">
        <v>230</v>
      </c>
      <c r="B26" s="106" t="s">
        <v>149</v>
      </c>
      <c r="C26" s="97"/>
      <c r="D26" s="97" t="s">
        <v>144</v>
      </c>
      <c r="E26" s="21">
        <v>1200000</v>
      </c>
      <c r="F26" s="22">
        <f t="shared" si="1"/>
        <v>6404</v>
      </c>
      <c r="G26" s="138" t="s">
        <v>190</v>
      </c>
      <c r="H26" s="139">
        <f>1590662-11000</f>
        <v>1579662</v>
      </c>
      <c r="I26" s="139">
        <v>84556.01</v>
      </c>
      <c r="J26" s="142">
        <v>6404</v>
      </c>
      <c r="K26" s="120">
        <v>0</v>
      </c>
      <c r="L26" s="141">
        <f t="shared" si="0"/>
        <v>6404</v>
      </c>
      <c r="M26" s="3" t="s">
        <v>266</v>
      </c>
    </row>
    <row r="27" spans="1:15" ht="27" x14ac:dyDescent="0.25">
      <c r="A27" s="19" t="s">
        <v>231</v>
      </c>
      <c r="B27" s="106" t="s">
        <v>150</v>
      </c>
      <c r="C27" s="97"/>
      <c r="D27" s="97" t="s">
        <v>144</v>
      </c>
      <c r="E27" s="22">
        <f>70000-26309</f>
        <v>43691</v>
      </c>
      <c r="F27" s="22">
        <f t="shared" si="1"/>
        <v>18000</v>
      </c>
      <c r="G27" s="138" t="s">
        <v>192</v>
      </c>
      <c r="H27" s="139">
        <v>70000</v>
      </c>
      <c r="I27" s="139">
        <v>0</v>
      </c>
      <c r="J27" s="142">
        <v>18000</v>
      </c>
      <c r="K27" s="120"/>
      <c r="L27" s="141">
        <f t="shared" si="0"/>
        <v>18000</v>
      </c>
      <c r="M27" s="3" t="s">
        <v>265</v>
      </c>
    </row>
    <row r="28" spans="1:15" ht="27" x14ac:dyDescent="0.25">
      <c r="A28" s="19" t="s">
        <v>232</v>
      </c>
      <c r="B28" s="106" t="s">
        <v>151</v>
      </c>
      <c r="C28" s="97"/>
      <c r="D28" s="97" t="s">
        <v>144</v>
      </c>
      <c r="E28" s="22">
        <v>74611</v>
      </c>
      <c r="F28" s="22">
        <f t="shared" si="1"/>
        <v>74611</v>
      </c>
      <c r="G28" s="138" t="s">
        <v>185</v>
      </c>
      <c r="H28" s="139">
        <v>853496</v>
      </c>
      <c r="I28" s="139">
        <v>502792.25</v>
      </c>
      <c r="J28" s="142">
        <v>269780</v>
      </c>
      <c r="K28" s="120">
        <v>195169</v>
      </c>
      <c r="L28" s="141">
        <f t="shared" si="0"/>
        <v>74611</v>
      </c>
      <c r="M28" s="3" t="s">
        <v>261</v>
      </c>
      <c r="N28" s="3" t="s">
        <v>269</v>
      </c>
    </row>
    <row r="29" spans="1:15" x14ac:dyDescent="0.25">
      <c r="A29" s="19" t="s">
        <v>233</v>
      </c>
      <c r="B29" s="106" t="s">
        <v>152</v>
      </c>
      <c r="C29" s="97"/>
      <c r="D29" s="97" t="s">
        <v>144</v>
      </c>
      <c r="E29" s="21">
        <v>925000</v>
      </c>
      <c r="F29" s="22">
        <f t="shared" si="1"/>
        <v>15000</v>
      </c>
      <c r="G29" s="138" t="s">
        <v>182</v>
      </c>
      <c r="H29" s="139">
        <v>952000</v>
      </c>
      <c r="I29" s="139">
        <v>10980.38</v>
      </c>
      <c r="J29" s="142">
        <v>30000</v>
      </c>
      <c r="K29" s="120">
        <v>15000</v>
      </c>
      <c r="L29" s="141">
        <f t="shared" si="0"/>
        <v>15000</v>
      </c>
      <c r="M29" s="3" t="s">
        <v>263</v>
      </c>
    </row>
    <row r="30" spans="1:15" ht="27" x14ac:dyDescent="0.25">
      <c r="A30" s="19" t="s">
        <v>234</v>
      </c>
      <c r="B30" s="106" t="s">
        <v>153</v>
      </c>
      <c r="C30" s="97"/>
      <c r="D30" s="97" t="s">
        <v>144</v>
      </c>
      <c r="E30" s="22">
        <v>1000</v>
      </c>
      <c r="F30" s="22">
        <f t="shared" si="1"/>
        <v>1000</v>
      </c>
      <c r="G30" s="138" t="s">
        <v>191</v>
      </c>
      <c r="H30" s="139">
        <v>16083</v>
      </c>
      <c r="I30" s="139">
        <v>4142.2</v>
      </c>
      <c r="J30" s="142">
        <v>16083</v>
      </c>
      <c r="K30" s="120">
        <v>15083</v>
      </c>
      <c r="L30" s="141">
        <f t="shared" si="0"/>
        <v>1000</v>
      </c>
      <c r="M30" s="3" t="s">
        <v>267</v>
      </c>
    </row>
    <row r="31" spans="1:15" ht="40.5" x14ac:dyDescent="0.25">
      <c r="A31" s="19" t="s">
        <v>235</v>
      </c>
      <c r="B31" s="106" t="s">
        <v>155</v>
      </c>
      <c r="C31" s="97"/>
      <c r="D31" s="97" t="s">
        <v>144</v>
      </c>
      <c r="E31" s="22">
        <f>50000+50000+7675</f>
        <v>107675</v>
      </c>
      <c r="F31" s="22">
        <f t="shared" si="1"/>
        <v>7675</v>
      </c>
      <c r="G31" s="138" t="s">
        <v>184</v>
      </c>
      <c r="H31" s="139">
        <v>124675</v>
      </c>
      <c r="I31" s="139">
        <v>37384.519999999997</v>
      </c>
      <c r="J31" s="142">
        <v>74675</v>
      </c>
      <c r="K31" s="120">
        <v>67000</v>
      </c>
      <c r="L31" s="141">
        <f t="shared" si="0"/>
        <v>7675</v>
      </c>
      <c r="M31" s="3" t="s">
        <v>262</v>
      </c>
    </row>
    <row r="32" spans="1:15" ht="27" x14ac:dyDescent="0.25">
      <c r="A32" s="19" t="s">
        <v>236</v>
      </c>
      <c r="B32" s="106" t="s">
        <v>156</v>
      </c>
      <c r="C32" s="97"/>
      <c r="D32" s="97" t="s">
        <v>144</v>
      </c>
      <c r="E32" s="21">
        <v>2130000</v>
      </c>
      <c r="F32" s="22">
        <f t="shared" si="1"/>
        <v>305939</v>
      </c>
      <c r="G32" s="138" t="s">
        <v>189</v>
      </c>
      <c r="H32" s="139">
        <v>2344066</v>
      </c>
      <c r="I32" s="139">
        <v>13813.19</v>
      </c>
      <c r="J32" s="142">
        <v>505939</v>
      </c>
      <c r="K32" s="120">
        <v>200000</v>
      </c>
      <c r="L32" s="141">
        <f t="shared" si="0"/>
        <v>305939</v>
      </c>
      <c r="M32" s="3" t="s">
        <v>263</v>
      </c>
    </row>
    <row r="33" spans="1:14" ht="54" x14ac:dyDescent="0.25">
      <c r="A33" s="19" t="s">
        <v>237</v>
      </c>
      <c r="B33" s="106" t="s">
        <v>157</v>
      </c>
      <c r="C33" s="97"/>
      <c r="D33" s="97" t="s">
        <v>144</v>
      </c>
      <c r="E33" s="21">
        <v>3725000</v>
      </c>
      <c r="F33" s="22">
        <f>L33*25%</f>
        <v>383577</v>
      </c>
      <c r="G33" s="138" t="s">
        <v>183</v>
      </c>
      <c r="H33" s="139">
        <v>3809308</v>
      </c>
      <c r="I33" s="139">
        <v>22092.48</v>
      </c>
      <c r="J33" s="140">
        <f>1408038+201270</f>
        <v>1609308</v>
      </c>
      <c r="K33" s="120">
        <v>75000</v>
      </c>
      <c r="L33" s="141">
        <f t="shared" si="0"/>
        <v>1534308</v>
      </c>
      <c r="M33" s="3" t="s">
        <v>266</v>
      </c>
    </row>
    <row r="34" spans="1:14" ht="27" x14ac:dyDescent="0.25">
      <c r="A34" s="19" t="s">
        <v>238</v>
      </c>
      <c r="B34" s="106" t="s">
        <v>159</v>
      </c>
      <c r="C34" s="97"/>
      <c r="D34" s="97" t="s">
        <v>167</v>
      </c>
      <c r="E34" s="22">
        <v>291965</v>
      </c>
      <c r="F34" s="21">
        <f>L34</f>
        <v>6533</v>
      </c>
      <c r="G34" s="138" t="s">
        <v>193</v>
      </c>
      <c r="H34" s="139">
        <v>305498</v>
      </c>
      <c r="I34" s="139">
        <v>0</v>
      </c>
      <c r="J34" s="142">
        <v>13533</v>
      </c>
      <c r="K34" s="120">
        <v>7000</v>
      </c>
      <c r="L34" s="141">
        <f t="shared" si="0"/>
        <v>6533</v>
      </c>
      <c r="M34" s="3" t="s">
        <v>261</v>
      </c>
    </row>
    <row r="35" spans="1:14" ht="27" x14ac:dyDescent="0.25">
      <c r="A35" s="19" t="s">
        <v>239</v>
      </c>
      <c r="B35" s="106" t="s">
        <v>160</v>
      </c>
      <c r="C35" s="97"/>
      <c r="D35" s="97" t="s">
        <v>167</v>
      </c>
      <c r="E35" s="22">
        <v>5000</v>
      </c>
      <c r="F35" s="21">
        <f>L35</f>
        <v>5000</v>
      </c>
      <c r="G35" s="138" t="s">
        <v>195</v>
      </c>
      <c r="H35" s="139">
        <v>1540204</v>
      </c>
      <c r="I35" s="139">
        <v>1187959.81</v>
      </c>
      <c r="J35" s="142">
        <v>100552</v>
      </c>
      <c r="K35" s="120">
        <v>95552</v>
      </c>
      <c r="L35" s="141">
        <f t="shared" si="0"/>
        <v>5000</v>
      </c>
      <c r="M35" s="3" t="s">
        <v>261</v>
      </c>
      <c r="N35" s="3" t="s">
        <v>269</v>
      </c>
    </row>
    <row r="36" spans="1:14" ht="27" x14ac:dyDescent="0.25">
      <c r="A36" s="19" t="s">
        <v>240</v>
      </c>
      <c r="B36" s="106" t="s">
        <v>161</v>
      </c>
      <c r="C36" s="97"/>
      <c r="D36" s="97" t="s">
        <v>167</v>
      </c>
      <c r="E36" s="21">
        <v>2100000</v>
      </c>
      <c r="F36" s="22">
        <f>L36*25%</f>
        <v>260169.25</v>
      </c>
      <c r="G36" s="138" t="s">
        <v>194</v>
      </c>
      <c r="H36" s="139">
        <v>2188787</v>
      </c>
      <c r="I36" s="139">
        <v>38470.589999999997</v>
      </c>
      <c r="J36" s="142">
        <v>1110677</v>
      </c>
      <c r="K36" s="120">
        <v>70000</v>
      </c>
      <c r="L36" s="141">
        <f t="shared" si="0"/>
        <v>1040677</v>
      </c>
      <c r="M36" s="3" t="s">
        <v>266</v>
      </c>
    </row>
    <row r="37" spans="1:14" ht="27" x14ac:dyDescent="0.25">
      <c r="A37" s="19" t="s">
        <v>241</v>
      </c>
      <c r="B37" s="106" t="s">
        <v>162</v>
      </c>
      <c r="C37" s="97"/>
      <c r="D37" s="97" t="s">
        <v>168</v>
      </c>
      <c r="E37" s="22">
        <f>432000-50000</f>
        <v>382000</v>
      </c>
      <c r="F37" s="22">
        <f>L37</f>
        <v>5516</v>
      </c>
      <c r="G37" s="138" t="s">
        <v>198</v>
      </c>
      <c r="H37" s="139">
        <v>432716</v>
      </c>
      <c r="I37" s="139">
        <v>21598.48</v>
      </c>
      <c r="J37" s="142">
        <v>37516</v>
      </c>
      <c r="K37" s="120">
        <v>32000</v>
      </c>
      <c r="L37" s="141">
        <f t="shared" si="0"/>
        <v>5516</v>
      </c>
      <c r="M37" s="3" t="s">
        <v>262</v>
      </c>
    </row>
    <row r="38" spans="1:14" ht="27" x14ac:dyDescent="0.25">
      <c r="A38" s="43" t="s">
        <v>242</v>
      </c>
      <c r="B38" s="110" t="s">
        <v>162</v>
      </c>
      <c r="C38" s="36"/>
      <c r="D38" s="124" t="s">
        <v>169</v>
      </c>
      <c r="E38" s="130">
        <v>380000</v>
      </c>
      <c r="F38" s="130">
        <f>E38*11.56%</f>
        <v>43928</v>
      </c>
      <c r="G38" s="112" t="s">
        <v>198</v>
      </c>
      <c r="H38" s="128">
        <v>432716</v>
      </c>
      <c r="I38" s="128">
        <v>21598.48</v>
      </c>
      <c r="J38" s="128">
        <v>385000</v>
      </c>
      <c r="K38" s="128">
        <v>0</v>
      </c>
      <c r="L38" s="112" t="s">
        <v>256</v>
      </c>
      <c r="M38" s="3" t="s">
        <v>262</v>
      </c>
    </row>
    <row r="39" spans="1:14" x14ac:dyDescent="0.25">
      <c r="A39" s="43" t="s">
        <v>243</v>
      </c>
      <c r="B39" s="110" t="s">
        <v>172</v>
      </c>
      <c r="C39" s="36"/>
      <c r="D39" s="124" t="s">
        <v>169</v>
      </c>
      <c r="E39" s="130">
        <v>2141236</v>
      </c>
      <c r="F39" s="130">
        <f>E39*13.45%</f>
        <v>287996.24199999997</v>
      </c>
      <c r="G39" s="112" t="s">
        <v>203</v>
      </c>
      <c r="H39" s="128">
        <v>2341236</v>
      </c>
      <c r="I39" s="128">
        <v>99481.52</v>
      </c>
      <c r="J39" s="128">
        <v>2195000</v>
      </c>
      <c r="K39" s="128">
        <v>0</v>
      </c>
      <c r="L39" s="112" t="s">
        <v>257</v>
      </c>
      <c r="M39" s="3" t="s">
        <v>262</v>
      </c>
    </row>
    <row r="40" spans="1:14" ht="27" x14ac:dyDescent="0.25">
      <c r="A40" s="19" t="s">
        <v>244</v>
      </c>
      <c r="B40" s="106" t="s">
        <v>163</v>
      </c>
      <c r="C40" s="97"/>
      <c r="D40" s="97" t="s">
        <v>169</v>
      </c>
      <c r="E40" s="22">
        <v>203993</v>
      </c>
      <c r="F40" s="22">
        <f>L40</f>
        <v>203993</v>
      </c>
      <c r="G40" s="138" t="s">
        <v>199</v>
      </c>
      <c r="H40" s="139">
        <v>203993</v>
      </c>
      <c r="I40" s="139">
        <v>0</v>
      </c>
      <c r="J40" s="142">
        <v>203993</v>
      </c>
      <c r="K40" s="120">
        <v>0</v>
      </c>
      <c r="L40" s="141">
        <f t="shared" si="0"/>
        <v>203993</v>
      </c>
      <c r="M40" s="3" t="s">
        <v>262</v>
      </c>
    </row>
    <row r="41" spans="1:14" ht="27" x14ac:dyDescent="0.25">
      <c r="A41" s="19" t="s">
        <v>252</v>
      </c>
      <c r="B41" s="106" t="s">
        <v>164</v>
      </c>
      <c r="C41" s="97"/>
      <c r="D41" s="97" t="s">
        <v>169</v>
      </c>
      <c r="E41" s="22">
        <v>148000</v>
      </c>
      <c r="F41" s="22">
        <f>L41</f>
        <v>13000</v>
      </c>
      <c r="G41" s="138" t="s">
        <v>200</v>
      </c>
      <c r="H41" s="139">
        <v>150000</v>
      </c>
      <c r="I41" s="139">
        <v>0</v>
      </c>
      <c r="J41" s="142">
        <v>15000</v>
      </c>
      <c r="K41" s="120">
        <v>2000</v>
      </c>
      <c r="L41" s="141">
        <f t="shared" si="0"/>
        <v>13000</v>
      </c>
      <c r="M41" s="3" t="s">
        <v>262</v>
      </c>
    </row>
    <row r="42" spans="1:14" ht="27" x14ac:dyDescent="0.25">
      <c r="A42" s="19" t="s">
        <v>253</v>
      </c>
      <c r="B42" s="106" t="s">
        <v>165</v>
      </c>
      <c r="C42" s="97"/>
      <c r="D42" s="97" t="s">
        <v>169</v>
      </c>
      <c r="E42" s="22">
        <v>41804</v>
      </c>
      <c r="F42" s="22">
        <f>L42</f>
        <v>41804</v>
      </c>
      <c r="G42" s="138" t="s">
        <v>197</v>
      </c>
      <c r="H42" s="139">
        <v>51804</v>
      </c>
      <c r="I42" s="139">
        <v>7286.88</v>
      </c>
      <c r="J42" s="142">
        <v>51804</v>
      </c>
      <c r="K42" s="120">
        <v>10000</v>
      </c>
      <c r="L42" s="141">
        <f t="shared" si="0"/>
        <v>41804</v>
      </c>
      <c r="M42" s="3" t="s">
        <v>262</v>
      </c>
    </row>
    <row r="43" spans="1:14" ht="18" customHeight="1" x14ac:dyDescent="0.25">
      <c r="A43" s="25"/>
      <c r="B43" s="25"/>
      <c r="C43" s="26"/>
      <c r="D43" s="27" t="s">
        <v>71</v>
      </c>
      <c r="E43" s="28">
        <f>SUM(E16:E42)</f>
        <v>20008366</v>
      </c>
      <c r="F43" s="29">
        <f>SUM(F16:F42)</f>
        <v>6723523.8919999991</v>
      </c>
      <c r="G43" s="30"/>
    </row>
    <row r="44" spans="1:14" hidden="1" x14ac:dyDescent="0.25">
      <c r="A44" s="125" t="s">
        <v>249</v>
      </c>
      <c r="B44"/>
      <c r="C44"/>
      <c r="D44"/>
      <c r="E44"/>
      <c r="F44"/>
      <c r="G44"/>
      <c r="H44"/>
    </row>
    <row r="45" spans="1:14" ht="60" hidden="1" customHeight="1" x14ac:dyDescent="0.25">
      <c r="A45" s="151" t="s">
        <v>251</v>
      </c>
      <c r="B45" s="152"/>
      <c r="C45" s="152"/>
      <c r="D45" s="152"/>
      <c r="E45" s="152"/>
      <c r="F45" s="153"/>
    </row>
    <row r="47" spans="1:14" x14ac:dyDescent="0.25">
      <c r="F47" s="7">
        <f>F12-F43</f>
        <v>801349.60800000001</v>
      </c>
    </row>
  </sheetData>
  <sheetProtection insertRows="0" insertHyperlinks="0" deleteRows="0" sort="0" autoFilter="0" pivotTables="0"/>
  <mergeCells count="2">
    <mergeCell ref="A1:F1"/>
    <mergeCell ref="A45:F45"/>
  </mergeCells>
  <phoneticPr fontId="0" type="noConversion"/>
  <pageMargins left="0.75" right="0.75" top="1.75" bottom="1" header="0.5" footer="0.5"/>
  <pageSetup paperSize="17" fitToHeight="0" orientation="landscape" r:id="rId1"/>
  <headerFooter alignWithMargins="0">
    <oddHeader>&amp;L&amp;G&amp;C&amp;"+,Regular"&amp;11&amp;K004EBC
&amp;"+,Bold"MEASURE A 
LOCAL STREETS 
AND ROADS PROGRAM</oddHeader>
    <oddFooter>&amp;C&amp;"+,Regular"&amp;9&amp;A
Page &amp;P of &amp;N</oddFooter>
  </headerFooter>
  <legacyDrawingHF r:id="rId2"/>
  <extLst>
    <ext xmlns:x14="http://schemas.microsoft.com/office/spreadsheetml/2009/9/main" uri="{CCE6A557-97BC-4b89-ADB6-D9C93CAAB3DF}">
      <x14:dataValidations xmlns:xm="http://schemas.microsoft.com/office/excel/2006/main" count="1">
        <x14:dataValidation type="list" showInputMessage="1" showErrorMessage="1">
          <x14:formula1>
            <xm:f>Sheet1!$A$5:$A$38</xm:f>
          </x14:formula1>
          <xm:sqref>B3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
  <sheetViews>
    <sheetView showRuler="0" view="pageBreakPreview" zoomScaleNormal="100" zoomScaleSheetLayoutView="100" workbookViewId="0">
      <selection activeCell="F19" sqref="F19"/>
    </sheetView>
  </sheetViews>
  <sheetFormatPr defaultRowHeight="13.5" x14ac:dyDescent="0.25"/>
  <cols>
    <col min="1" max="1" width="12.7109375" style="3" bestFit="1" customWidth="1"/>
    <col min="2" max="2" width="30" style="3" customWidth="1"/>
    <col min="3" max="3" width="1.7109375" style="3" customWidth="1"/>
    <col min="4" max="4" width="20" style="3" customWidth="1"/>
    <col min="5" max="5" width="15.42578125" style="3" customWidth="1"/>
    <col min="6" max="6" width="14.7109375" style="3" customWidth="1"/>
    <col min="7" max="16384" width="9.140625" style="3"/>
  </cols>
  <sheetData>
    <row r="1" spans="1:6" ht="17.25" x14ac:dyDescent="0.3">
      <c r="A1" s="150" t="s">
        <v>105</v>
      </c>
      <c r="B1" s="150"/>
      <c r="C1" s="150"/>
      <c r="D1" s="150"/>
      <c r="E1" s="150"/>
      <c r="F1" s="150"/>
    </row>
    <row r="3" spans="1:6" ht="18" customHeight="1" x14ac:dyDescent="0.25">
      <c r="A3" s="4" t="s">
        <v>72</v>
      </c>
      <c r="B3" s="5" t="s">
        <v>48</v>
      </c>
      <c r="C3" s="4"/>
    </row>
    <row r="4" spans="1:6" ht="18" customHeight="1" x14ac:dyDescent="0.25">
      <c r="A4" s="4" t="s">
        <v>73</v>
      </c>
      <c r="B4" s="5" t="s">
        <v>132</v>
      </c>
      <c r="C4" s="4"/>
    </row>
    <row r="5" spans="1:6" ht="18" customHeight="1" x14ac:dyDescent="0.25">
      <c r="A5" s="4" t="s">
        <v>74</v>
      </c>
      <c r="B5" s="95" t="s">
        <v>133</v>
      </c>
      <c r="C5" s="4"/>
    </row>
    <row r="6" spans="1:6" ht="18" customHeight="1" x14ac:dyDescent="0.25">
      <c r="A6" s="4" t="s">
        <v>76</v>
      </c>
      <c r="B6" s="149">
        <v>43185</v>
      </c>
      <c r="C6" s="4"/>
    </row>
    <row r="7" spans="1:6" ht="18" customHeight="1" x14ac:dyDescent="0.25"/>
    <row r="8" spans="1:6" ht="18" customHeight="1" x14ac:dyDescent="0.25">
      <c r="E8" s="6" t="s">
        <v>3</v>
      </c>
      <c r="F8" s="7">
        <f>'FY 2018-19'!F12-'FY 2018-19'!F43</f>
        <v>801349.60800000001</v>
      </c>
    </row>
    <row r="9" spans="1:6" ht="18" customHeight="1" x14ac:dyDescent="0.25">
      <c r="E9" s="6" t="s">
        <v>106</v>
      </c>
      <c r="F9" s="9">
        <f>VLOOKUP(B3,Projections!$A$7:$E$49,5,0)</f>
        <v>4106000</v>
      </c>
    </row>
    <row r="10" spans="1:6" ht="18" customHeight="1" x14ac:dyDescent="0.25">
      <c r="E10" s="6" t="s">
        <v>107</v>
      </c>
      <c r="F10" s="11">
        <f>SUM(F8:F9)</f>
        <v>4907349.608</v>
      </c>
    </row>
    <row r="11" spans="1:6" ht="18" customHeight="1" x14ac:dyDescent="0.25"/>
    <row r="12" spans="1:6" s="41" customFormat="1" ht="24" customHeight="1" x14ac:dyDescent="0.2">
      <c r="A12" s="12" t="s">
        <v>70</v>
      </c>
      <c r="B12" s="13" t="s">
        <v>0</v>
      </c>
      <c r="C12" s="14"/>
      <c r="D12" s="15" t="s">
        <v>1</v>
      </c>
      <c r="E12" s="12" t="s">
        <v>111</v>
      </c>
      <c r="F12" s="12" t="s">
        <v>4</v>
      </c>
    </row>
    <row r="13" spans="1:6" ht="18" customHeight="1" x14ac:dyDescent="0.25">
      <c r="A13" s="42" t="s">
        <v>113</v>
      </c>
      <c r="B13" s="18"/>
      <c r="C13" s="97"/>
      <c r="D13" s="97"/>
      <c r="E13" s="18"/>
      <c r="F13" s="17"/>
    </row>
    <row r="14" spans="1:6" ht="27" x14ac:dyDescent="0.25">
      <c r="A14" s="43" t="s">
        <v>119</v>
      </c>
      <c r="B14" s="105" t="s">
        <v>136</v>
      </c>
      <c r="C14" s="97"/>
      <c r="D14" s="97" t="s">
        <v>137</v>
      </c>
      <c r="E14" s="98">
        <v>263654</v>
      </c>
      <c r="F14" s="98">
        <v>263654</v>
      </c>
    </row>
    <row r="15" spans="1:6" x14ac:dyDescent="0.25">
      <c r="A15" s="43" t="s">
        <v>19</v>
      </c>
      <c r="B15" s="20" t="s">
        <v>134</v>
      </c>
      <c r="C15" s="99"/>
      <c r="D15" s="99" t="s">
        <v>138</v>
      </c>
      <c r="E15" s="21">
        <v>1223250</v>
      </c>
      <c r="F15" s="21">
        <v>1223250</v>
      </c>
    </row>
    <row r="16" spans="1:6" x14ac:dyDescent="0.25">
      <c r="A16" s="43" t="s">
        <v>20</v>
      </c>
      <c r="B16" s="17" t="s">
        <v>135</v>
      </c>
      <c r="C16" s="97"/>
      <c r="D16" s="97" t="s">
        <v>138</v>
      </c>
      <c r="E16" s="22">
        <v>496261</v>
      </c>
      <c r="F16" s="22">
        <v>496261</v>
      </c>
    </row>
    <row r="17" spans="1:7" ht="27.75" customHeight="1" x14ac:dyDescent="0.25">
      <c r="A17" s="43" t="s">
        <v>21</v>
      </c>
      <c r="B17" s="105" t="s">
        <v>139</v>
      </c>
      <c r="C17" s="97"/>
      <c r="D17" s="97" t="s">
        <v>141</v>
      </c>
      <c r="E17" s="22">
        <v>1055000</v>
      </c>
      <c r="F17" s="22">
        <v>1055000</v>
      </c>
    </row>
    <row r="18" spans="1:7" x14ac:dyDescent="0.25">
      <c r="A18" s="43" t="s">
        <v>22</v>
      </c>
      <c r="B18" s="17" t="s">
        <v>140</v>
      </c>
      <c r="C18" s="100"/>
      <c r="D18" s="104" t="s">
        <v>141</v>
      </c>
      <c r="E18" s="24">
        <v>1491000</v>
      </c>
      <c r="F18" s="24">
        <v>1491000</v>
      </c>
    </row>
    <row r="19" spans="1:7" ht="18" customHeight="1" x14ac:dyDescent="0.25">
      <c r="A19" s="23"/>
      <c r="B19" s="25"/>
      <c r="C19" s="26"/>
      <c r="D19" s="27" t="s">
        <v>71</v>
      </c>
      <c r="E19" s="28">
        <f>SUM(E14:E18)</f>
        <v>4529165</v>
      </c>
      <c r="F19" s="29">
        <f>SUM(F14:F18)</f>
        <v>4529165</v>
      </c>
      <c r="G19" s="30"/>
    </row>
    <row r="21" spans="1:7" x14ac:dyDescent="0.25">
      <c r="F21" s="7">
        <f>F10-F19</f>
        <v>378184.60800000001</v>
      </c>
    </row>
  </sheetData>
  <mergeCells count="1">
    <mergeCell ref="A1:F1"/>
  </mergeCells>
  <phoneticPr fontId="0" type="noConversion"/>
  <pageMargins left="0.75" right="0.75" top="1.75" bottom="1" header="0.5" footer="0.5"/>
  <pageSetup scale="96" orientation="portrait" r:id="rId1"/>
  <headerFooter alignWithMargins="0">
    <oddHeader>&amp;L&amp;G&amp;C&amp;"+,Regular"&amp;11&amp;K004EBC
&amp;"+,Bold"MEASURE A 
LOCAL STREETS 
AND ROADS PROGRAM</oddHeader>
    <oddFooter>&amp;C&amp;"+,Regular"&amp;9&amp;A
Page &amp;P of &amp;N</oddFooter>
  </headerFooter>
  <legacyDrawingHF r:id="rId2"/>
  <extLst>
    <ext xmlns:x14="http://schemas.microsoft.com/office/spreadsheetml/2009/9/main" uri="{CCE6A557-97BC-4b89-ADB6-D9C93CAAB3DF}">
      <x14:dataValidations xmlns:xm="http://schemas.microsoft.com/office/excel/2006/main" count="1">
        <x14:dataValidation type="list" showInputMessage="1" showErrorMessage="1">
          <x14:formula1>
            <xm:f>Sheet1!$A$5:$A$38</xm:f>
          </x14:formula1>
          <xm:sqref>B3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
  <sheetViews>
    <sheetView showRuler="0" view="pageBreakPreview" zoomScaleNormal="100" zoomScaleSheetLayoutView="100" workbookViewId="0">
      <selection activeCell="F21" sqref="F21"/>
    </sheetView>
  </sheetViews>
  <sheetFormatPr defaultRowHeight="13.5" x14ac:dyDescent="0.25"/>
  <cols>
    <col min="1" max="1" width="12.7109375" style="3" bestFit="1" customWidth="1"/>
    <col min="2" max="2" width="30" style="3" customWidth="1"/>
    <col min="3" max="3" width="1.7109375" style="3" customWidth="1"/>
    <col min="4" max="4" width="20" style="3" customWidth="1"/>
    <col min="5" max="5" width="15.42578125" style="3" customWidth="1"/>
    <col min="6" max="6" width="14.7109375" style="3" customWidth="1"/>
    <col min="7" max="16384" width="9.140625" style="3"/>
  </cols>
  <sheetData>
    <row r="1" spans="1:6" ht="17.25" x14ac:dyDescent="0.3">
      <c r="A1" s="150" t="s">
        <v>108</v>
      </c>
      <c r="B1" s="150"/>
      <c r="C1" s="150"/>
      <c r="D1" s="150"/>
      <c r="E1" s="150"/>
      <c r="F1" s="150"/>
    </row>
    <row r="3" spans="1:6" ht="18" customHeight="1" x14ac:dyDescent="0.25">
      <c r="A3" s="4" t="s">
        <v>72</v>
      </c>
      <c r="B3" s="5" t="s">
        <v>48</v>
      </c>
      <c r="C3" s="4"/>
    </row>
    <row r="4" spans="1:6" ht="18" customHeight="1" x14ac:dyDescent="0.25">
      <c r="A4" s="4" t="s">
        <v>73</v>
      </c>
      <c r="B4" s="5" t="s">
        <v>132</v>
      </c>
      <c r="C4" s="4"/>
    </row>
    <row r="5" spans="1:6" ht="18" customHeight="1" x14ac:dyDescent="0.25">
      <c r="A5" s="4" t="s">
        <v>74</v>
      </c>
      <c r="B5" s="95" t="s">
        <v>133</v>
      </c>
      <c r="C5" s="4"/>
    </row>
    <row r="6" spans="1:6" ht="18" customHeight="1" x14ac:dyDescent="0.25">
      <c r="A6" s="4" t="s">
        <v>76</v>
      </c>
      <c r="B6" s="149">
        <v>43185</v>
      </c>
      <c r="C6" s="4"/>
    </row>
    <row r="7" spans="1:6" ht="18" customHeight="1" x14ac:dyDescent="0.25"/>
    <row r="8" spans="1:6" ht="18" customHeight="1" x14ac:dyDescent="0.25">
      <c r="E8" s="6" t="s">
        <v>3</v>
      </c>
      <c r="F8" s="7">
        <f>'FY 2019-20'!F10-'FY 2019-20'!F19</f>
        <v>378184.60800000001</v>
      </c>
    </row>
    <row r="9" spans="1:6" ht="18" customHeight="1" x14ac:dyDescent="0.25">
      <c r="E9" s="6" t="s">
        <v>109</v>
      </c>
      <c r="F9" s="9">
        <f>VLOOKUP(B3,Projections!$A$7:$F$49,6,0)</f>
        <v>4209000</v>
      </c>
    </row>
    <row r="10" spans="1:6" ht="18" customHeight="1" x14ac:dyDescent="0.25">
      <c r="E10" s="6" t="s">
        <v>110</v>
      </c>
      <c r="F10" s="11">
        <f>SUM(F8:F9)</f>
        <v>4587184.608</v>
      </c>
    </row>
    <row r="11" spans="1:6" ht="18" customHeight="1" x14ac:dyDescent="0.25"/>
    <row r="12" spans="1:6" s="41" customFormat="1" ht="24" customHeight="1" x14ac:dyDescent="0.2">
      <c r="A12" s="12" t="s">
        <v>70</v>
      </c>
      <c r="B12" s="13" t="s">
        <v>0</v>
      </c>
      <c r="C12" s="14"/>
      <c r="D12" s="15" t="s">
        <v>1</v>
      </c>
      <c r="E12" s="12" t="s">
        <v>111</v>
      </c>
      <c r="F12" s="12" t="s">
        <v>4</v>
      </c>
    </row>
    <row r="13" spans="1:6" ht="18" customHeight="1" x14ac:dyDescent="0.25">
      <c r="A13" s="42" t="s">
        <v>114</v>
      </c>
      <c r="B13" s="18"/>
      <c r="C13" s="97"/>
      <c r="D13" s="97"/>
      <c r="E13" s="18"/>
      <c r="F13" s="17"/>
    </row>
    <row r="14" spans="1:6" ht="27" x14ac:dyDescent="0.25">
      <c r="A14" s="43" t="s">
        <v>120</v>
      </c>
      <c r="B14" s="105" t="s">
        <v>136</v>
      </c>
      <c r="C14" s="97"/>
      <c r="D14" s="97" t="s">
        <v>137</v>
      </c>
      <c r="E14" s="98">
        <v>263654</v>
      </c>
      <c r="F14" s="98">
        <v>263654</v>
      </c>
    </row>
    <row r="15" spans="1:6" x14ac:dyDescent="0.25">
      <c r="A15" s="43" t="s">
        <v>7</v>
      </c>
      <c r="B15" s="20" t="s">
        <v>134</v>
      </c>
      <c r="C15" s="99"/>
      <c r="D15" s="99" t="s">
        <v>138</v>
      </c>
      <c r="E15" s="21">
        <v>1223250</v>
      </c>
      <c r="F15" s="21">
        <v>1223250</v>
      </c>
    </row>
    <row r="16" spans="1:6" x14ac:dyDescent="0.25">
      <c r="A16" s="43" t="s">
        <v>8</v>
      </c>
      <c r="B16" s="17" t="s">
        <v>135</v>
      </c>
      <c r="C16" s="97"/>
      <c r="D16" s="97" t="s">
        <v>138</v>
      </c>
      <c r="E16" s="22">
        <v>496261</v>
      </c>
      <c r="F16" s="22">
        <v>496261</v>
      </c>
    </row>
    <row r="17" spans="1:7" ht="27.75" customHeight="1" x14ac:dyDescent="0.25">
      <c r="A17" s="43" t="s">
        <v>9</v>
      </c>
      <c r="B17" s="105" t="s">
        <v>139</v>
      </c>
      <c r="C17" s="97"/>
      <c r="D17" s="97" t="s">
        <v>141</v>
      </c>
      <c r="E17" s="22">
        <v>1055000</v>
      </c>
      <c r="F17" s="22">
        <v>1055000</v>
      </c>
    </row>
    <row r="18" spans="1:7" x14ac:dyDescent="0.25">
      <c r="A18" s="43" t="s">
        <v>10</v>
      </c>
      <c r="B18" s="17" t="s">
        <v>140</v>
      </c>
      <c r="C18" s="100"/>
      <c r="D18" s="104" t="s">
        <v>141</v>
      </c>
      <c r="E18" s="24">
        <v>1491000</v>
      </c>
      <c r="F18" s="24">
        <v>1491000</v>
      </c>
    </row>
    <row r="19" spans="1:7" ht="18" customHeight="1" x14ac:dyDescent="0.25">
      <c r="A19" s="23"/>
      <c r="B19" s="25"/>
      <c r="C19" s="26"/>
      <c r="D19" s="27" t="s">
        <v>71</v>
      </c>
      <c r="E19" s="28">
        <f>SUM(E14:E18)</f>
        <v>4529165</v>
      </c>
      <c r="F19" s="29">
        <f>SUM(F14:F18)</f>
        <v>4529165</v>
      </c>
      <c r="G19" s="30"/>
    </row>
    <row r="21" spans="1:7" x14ac:dyDescent="0.25">
      <c r="F21" s="7">
        <f>F10-F19</f>
        <v>58019.608000000007</v>
      </c>
    </row>
  </sheetData>
  <mergeCells count="1">
    <mergeCell ref="A1:F1"/>
  </mergeCells>
  <phoneticPr fontId="0" type="noConversion"/>
  <pageMargins left="0.75" right="0.75" top="1.75" bottom="1" header="0.5" footer="0.5"/>
  <pageSetup scale="96" orientation="portrait" r:id="rId1"/>
  <headerFooter alignWithMargins="0">
    <oddHeader>&amp;L&amp;G&amp;C&amp;"+,Regular"&amp;11&amp;K004EBC
&amp;"+,Bold"MEASURE A 
LOCAL STREETS 
AND ROADS PROGRAM</oddHeader>
    <oddFooter>&amp;C&amp;"+,Regular"&amp;9&amp;A
Page &amp;P of &amp;N</oddFooter>
  </headerFooter>
  <legacyDrawingHF r:id="rId2"/>
  <extLst>
    <ext xmlns:x14="http://schemas.microsoft.com/office/spreadsheetml/2009/9/main" uri="{CCE6A557-97BC-4b89-ADB6-D9C93CAAB3DF}">
      <x14:dataValidations xmlns:xm="http://schemas.microsoft.com/office/excel/2006/main" count="1">
        <x14:dataValidation type="list" showInputMessage="1" showErrorMessage="1">
          <x14:formula1>
            <xm:f>Sheet1!$A$5:$A$38</xm:f>
          </x14:formula1>
          <xm:sqref>B3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3"/>
  <sheetViews>
    <sheetView showRuler="0" view="pageBreakPreview" zoomScaleNormal="100" zoomScaleSheetLayoutView="100" workbookViewId="0">
      <selection activeCell="N32" sqref="N32"/>
    </sheetView>
  </sheetViews>
  <sheetFormatPr defaultRowHeight="13.5" x14ac:dyDescent="0.25"/>
  <cols>
    <col min="1" max="1" width="12.7109375" style="3" bestFit="1" customWidth="1"/>
    <col min="2" max="2" width="30" style="3" customWidth="1"/>
    <col min="3" max="3" width="1.7109375" style="3" customWidth="1"/>
    <col min="4" max="4" width="20" style="3" customWidth="1"/>
    <col min="5" max="5" width="15.42578125" style="3" customWidth="1"/>
    <col min="6" max="6" width="14.7109375" style="3" customWidth="1"/>
    <col min="7" max="7" width="0" style="3" hidden="1" customWidth="1"/>
    <col min="8" max="8" width="11.140625" style="3" hidden="1" customWidth="1"/>
    <col min="9" max="10" width="0" style="3" hidden="1" customWidth="1"/>
    <col min="11" max="16384" width="9.140625" style="3"/>
  </cols>
  <sheetData>
    <row r="1" spans="1:10" ht="17.25" x14ac:dyDescent="0.3">
      <c r="A1" s="150" t="s">
        <v>115</v>
      </c>
      <c r="B1" s="150"/>
      <c r="C1" s="150"/>
      <c r="D1" s="150"/>
      <c r="E1" s="150"/>
      <c r="F1" s="150"/>
    </row>
    <row r="3" spans="1:10" ht="18" customHeight="1" x14ac:dyDescent="0.25">
      <c r="A3" s="4" t="s">
        <v>72</v>
      </c>
      <c r="B3" s="5" t="s">
        <v>48</v>
      </c>
      <c r="C3" s="4"/>
    </row>
    <row r="4" spans="1:10" ht="18" customHeight="1" x14ac:dyDescent="0.25">
      <c r="A4" s="4" t="s">
        <v>73</v>
      </c>
      <c r="B4" s="5" t="s">
        <v>132</v>
      </c>
      <c r="C4" s="4"/>
    </row>
    <row r="5" spans="1:10" ht="18" customHeight="1" x14ac:dyDescent="0.25">
      <c r="A5" s="4" t="s">
        <v>74</v>
      </c>
      <c r="B5" s="95" t="s">
        <v>133</v>
      </c>
      <c r="C5" s="4"/>
    </row>
    <row r="6" spans="1:10" ht="18" customHeight="1" x14ac:dyDescent="0.25">
      <c r="A6" s="4" t="s">
        <v>76</v>
      </c>
      <c r="B6" s="149">
        <v>43185</v>
      </c>
      <c r="C6" s="4"/>
    </row>
    <row r="7" spans="1:10" ht="18" customHeight="1" x14ac:dyDescent="0.25"/>
    <row r="8" spans="1:10" ht="18" customHeight="1" x14ac:dyDescent="0.25">
      <c r="E8" s="6" t="s">
        <v>3</v>
      </c>
      <c r="F8" s="7">
        <f>'FY 2020-21'!F10-'FY 2020-21'!F19</f>
        <v>58019.608000000007</v>
      </c>
    </row>
    <row r="9" spans="1:10" ht="18" customHeight="1" x14ac:dyDescent="0.25">
      <c r="E9" s="6" t="s">
        <v>116</v>
      </c>
      <c r="F9" s="9">
        <f>VLOOKUP(B3,Projections!$A$7:$G$49,7,0)</f>
        <v>4314000</v>
      </c>
    </row>
    <row r="10" spans="1:10" ht="18" customHeight="1" x14ac:dyDescent="0.25">
      <c r="E10" s="6" t="s">
        <v>117</v>
      </c>
      <c r="F10" s="11">
        <f>SUM(F8:F9)</f>
        <v>4372019.608</v>
      </c>
    </row>
    <row r="11" spans="1:10" ht="18" customHeight="1" x14ac:dyDescent="0.25"/>
    <row r="12" spans="1:10" s="41" customFormat="1" ht="24" customHeight="1" x14ac:dyDescent="0.2">
      <c r="A12" s="12" t="s">
        <v>70</v>
      </c>
      <c r="B12" s="13" t="s">
        <v>0</v>
      </c>
      <c r="C12" s="14"/>
      <c r="D12" s="15" t="s">
        <v>1</v>
      </c>
      <c r="E12" s="12" t="s">
        <v>111</v>
      </c>
      <c r="F12" s="12" t="s">
        <v>4</v>
      </c>
    </row>
    <row r="13" spans="1:10" ht="18" customHeight="1" x14ac:dyDescent="0.25">
      <c r="A13" s="42" t="s">
        <v>118</v>
      </c>
      <c r="B13" s="18"/>
      <c r="C13" s="97"/>
      <c r="D13" s="97"/>
      <c r="E13" s="18"/>
      <c r="F13" s="17"/>
    </row>
    <row r="14" spans="1:10" ht="27" x14ac:dyDescent="0.25">
      <c r="A14" s="43" t="s">
        <v>121</v>
      </c>
      <c r="B14" s="105" t="s">
        <v>136</v>
      </c>
      <c r="C14" s="97"/>
      <c r="D14" s="97" t="s">
        <v>137</v>
      </c>
      <c r="E14" s="98">
        <v>263654</v>
      </c>
      <c r="F14" s="98">
        <v>263654</v>
      </c>
      <c r="J14" s="1" t="s">
        <v>277</v>
      </c>
    </row>
    <row r="15" spans="1:10" x14ac:dyDescent="0.25">
      <c r="A15" s="43" t="s">
        <v>23</v>
      </c>
      <c r="B15" s="20" t="s">
        <v>134</v>
      </c>
      <c r="C15" s="99"/>
      <c r="D15" s="99" t="s">
        <v>138</v>
      </c>
      <c r="E15" s="21">
        <v>1223250</v>
      </c>
      <c r="F15" s="21">
        <f>E15*G15</f>
        <v>1107041.25</v>
      </c>
      <c r="G15" s="137">
        <v>0.90500000000000003</v>
      </c>
      <c r="H15" s="8">
        <f>F15-E15</f>
        <v>-116208.75</v>
      </c>
      <c r="J15" s="1" t="s">
        <v>278</v>
      </c>
    </row>
    <row r="16" spans="1:10" x14ac:dyDescent="0.25">
      <c r="A16" s="43" t="s">
        <v>24</v>
      </c>
      <c r="B16" s="17" t="s">
        <v>135</v>
      </c>
      <c r="C16" s="97"/>
      <c r="D16" s="97" t="s">
        <v>138</v>
      </c>
      <c r="E16" s="22">
        <v>496261</v>
      </c>
      <c r="F16" s="22">
        <f>E16*G16</f>
        <v>449116.20500000002</v>
      </c>
      <c r="G16" s="165">
        <f>G15</f>
        <v>0.90500000000000003</v>
      </c>
      <c r="H16" s="8">
        <f>F16-E16</f>
        <v>-47144.794999999984</v>
      </c>
      <c r="J16" s="1" t="s">
        <v>281</v>
      </c>
    </row>
    <row r="17" spans="1:10" ht="27.75" customHeight="1" x14ac:dyDescent="0.25">
      <c r="A17" s="43" t="s">
        <v>25</v>
      </c>
      <c r="B17" s="105" t="s">
        <v>139</v>
      </c>
      <c r="C17" s="97"/>
      <c r="D17" s="97" t="s">
        <v>141</v>
      </c>
      <c r="E17" s="22">
        <v>1055000</v>
      </c>
      <c r="F17" s="22">
        <v>1055000</v>
      </c>
      <c r="H17" s="8">
        <f>SUM(H15:H16)</f>
        <v>-163353.54499999998</v>
      </c>
      <c r="J17" s="1" t="s">
        <v>282</v>
      </c>
    </row>
    <row r="18" spans="1:10" x14ac:dyDescent="0.25">
      <c r="A18" s="43" t="s">
        <v>26</v>
      </c>
      <c r="B18" s="17" t="s">
        <v>140</v>
      </c>
      <c r="C18" s="100"/>
      <c r="D18" s="104" t="s">
        <v>141</v>
      </c>
      <c r="E18" s="24">
        <v>1491000</v>
      </c>
      <c r="F18" s="24">
        <v>1491000</v>
      </c>
      <c r="J18" s="1" t="s">
        <v>283</v>
      </c>
    </row>
    <row r="19" spans="1:10" ht="18" customHeight="1" x14ac:dyDescent="0.25">
      <c r="A19" s="23"/>
      <c r="B19" s="25"/>
      <c r="C19" s="26"/>
      <c r="D19" s="27" t="s">
        <v>71</v>
      </c>
      <c r="E19" s="28">
        <f>SUM(E14:E18)</f>
        <v>4529165</v>
      </c>
      <c r="F19" s="29">
        <f>SUM(F14:F18)</f>
        <v>4365811.4550000001</v>
      </c>
      <c r="G19" s="30"/>
      <c r="J19" s="1" t="s">
        <v>284</v>
      </c>
    </row>
    <row r="20" spans="1:10" x14ac:dyDescent="0.25">
      <c r="J20" s="1" t="s">
        <v>279</v>
      </c>
    </row>
    <row r="21" spans="1:10" x14ac:dyDescent="0.25">
      <c r="F21" s="7">
        <f>F10-F19</f>
        <v>6208.1529999999329</v>
      </c>
      <c r="J21" s="1" t="s">
        <v>285</v>
      </c>
    </row>
    <row r="22" spans="1:10" x14ac:dyDescent="0.25">
      <c r="J22" s="1" t="s">
        <v>286</v>
      </c>
    </row>
    <row r="23" spans="1:10" x14ac:dyDescent="0.25">
      <c r="J23" s="1" t="s">
        <v>280</v>
      </c>
    </row>
  </sheetData>
  <mergeCells count="1">
    <mergeCell ref="A1:F1"/>
  </mergeCells>
  <phoneticPr fontId="0" type="noConversion"/>
  <pageMargins left="0.75" right="0.75" top="1.75" bottom="1" header="0.5" footer="0.5"/>
  <pageSetup scale="96" orientation="portrait" r:id="rId1"/>
  <headerFooter alignWithMargins="0">
    <oddHeader>&amp;L&amp;G&amp;C&amp;"+,Regular"&amp;11&amp;K004EBC
&amp;"+,Bold"MEASURE A 
LOCAL STREETS 
AND ROADS PROGRAM</oddHeader>
    <oddFooter>&amp;C&amp;"+,Regular"&amp;9&amp;A
Page &amp;P of &amp;N</oddFooter>
  </headerFooter>
  <legacyDrawingHF r:id="rId2"/>
  <extLst>
    <ext xmlns:x14="http://schemas.microsoft.com/office/spreadsheetml/2009/9/main" uri="{CCE6A557-97BC-4b89-ADB6-D9C93CAAB3DF}">
      <x14:dataValidations xmlns:xm="http://schemas.microsoft.com/office/excel/2006/main" count="1">
        <x14:dataValidation type="list" showInputMessage="1" showErrorMessage="1">
          <x14:formula1>
            <xm:f>Sheet1!$A$5:$A$38</xm:f>
          </x14:formula1>
          <xm:sqref>B3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3"/>
  <sheetViews>
    <sheetView showRuler="0" view="pageBreakPreview" zoomScaleNormal="100" zoomScaleSheetLayoutView="100" workbookViewId="0">
      <selection activeCell="M28" sqref="M28:N28"/>
    </sheetView>
  </sheetViews>
  <sheetFormatPr defaultRowHeight="13.5" x14ac:dyDescent="0.25"/>
  <cols>
    <col min="1" max="1" width="12.7109375" style="3" bestFit="1" customWidth="1"/>
    <col min="2" max="2" width="30" style="3" customWidth="1"/>
    <col min="3" max="3" width="1.7109375" style="3" customWidth="1"/>
    <col min="4" max="4" width="20" style="3" customWidth="1"/>
    <col min="5" max="5" width="15.42578125" style="3" customWidth="1"/>
    <col min="6" max="6" width="14.7109375" style="3" customWidth="1"/>
    <col min="7" max="7" width="0" style="3" hidden="1" customWidth="1"/>
    <col min="8" max="8" width="11.140625" style="3" hidden="1" customWidth="1"/>
    <col min="9" max="10" width="0" style="3" hidden="1" customWidth="1"/>
    <col min="11" max="16384" width="9.140625" style="3"/>
  </cols>
  <sheetData>
    <row r="1" spans="1:10" ht="17.25" x14ac:dyDescent="0.3">
      <c r="A1" s="150" t="s">
        <v>78</v>
      </c>
      <c r="B1" s="150"/>
      <c r="C1" s="150"/>
      <c r="D1" s="150"/>
      <c r="E1" s="150"/>
      <c r="F1" s="150"/>
    </row>
    <row r="3" spans="1:10" ht="18" customHeight="1" x14ac:dyDescent="0.25">
      <c r="A3" s="4" t="s">
        <v>72</v>
      </c>
      <c r="B3" s="5" t="s">
        <v>48</v>
      </c>
      <c r="C3" s="4"/>
    </row>
    <row r="4" spans="1:10" ht="18" customHeight="1" x14ac:dyDescent="0.25">
      <c r="A4" s="4" t="s">
        <v>73</v>
      </c>
      <c r="B4" s="5" t="s">
        <v>132</v>
      </c>
      <c r="C4" s="4"/>
    </row>
    <row r="5" spans="1:10" ht="18" customHeight="1" x14ac:dyDescent="0.25">
      <c r="A5" s="4" t="s">
        <v>74</v>
      </c>
      <c r="B5" s="95" t="s">
        <v>133</v>
      </c>
      <c r="C5" s="4"/>
    </row>
    <row r="6" spans="1:10" ht="18" customHeight="1" x14ac:dyDescent="0.25">
      <c r="A6" s="4" t="s">
        <v>76</v>
      </c>
      <c r="B6" s="149">
        <v>43185</v>
      </c>
      <c r="C6" s="4"/>
    </row>
    <row r="7" spans="1:10" ht="18" customHeight="1" x14ac:dyDescent="0.25"/>
    <row r="8" spans="1:10" ht="18" customHeight="1" x14ac:dyDescent="0.25">
      <c r="E8" s="6" t="s">
        <v>3</v>
      </c>
      <c r="F8" s="7">
        <f>'FY 2021-22'!F10-'FY 2021-22'!F19</f>
        <v>6208.1529999999329</v>
      </c>
    </row>
    <row r="9" spans="1:10" ht="18" customHeight="1" x14ac:dyDescent="0.25">
      <c r="E9" s="6" t="s">
        <v>122</v>
      </c>
      <c r="F9" s="9">
        <f>VLOOKUP(B3,Projections!$A$7:$H$49,8,0)</f>
        <v>4422000</v>
      </c>
    </row>
    <row r="10" spans="1:10" ht="18" customHeight="1" x14ac:dyDescent="0.25">
      <c r="E10" s="6" t="s">
        <v>123</v>
      </c>
      <c r="F10" s="11">
        <f>SUM(F8:F9)</f>
        <v>4428208.1529999999</v>
      </c>
    </row>
    <row r="11" spans="1:10" ht="18" customHeight="1" x14ac:dyDescent="0.25"/>
    <row r="12" spans="1:10" s="41" customFormat="1" ht="24" customHeight="1" x14ac:dyDescent="0.2">
      <c r="A12" s="12" t="s">
        <v>70</v>
      </c>
      <c r="B12" s="13" t="s">
        <v>0</v>
      </c>
      <c r="C12" s="14"/>
      <c r="D12" s="15" t="s">
        <v>1</v>
      </c>
      <c r="E12" s="12" t="s">
        <v>111</v>
      </c>
      <c r="F12" s="12" t="s">
        <v>4</v>
      </c>
    </row>
    <row r="13" spans="1:10" ht="18" customHeight="1" x14ac:dyDescent="0.25">
      <c r="A13" s="42" t="s">
        <v>124</v>
      </c>
      <c r="B13" s="18"/>
      <c r="C13" s="97"/>
      <c r="D13" s="97"/>
      <c r="E13" s="18"/>
      <c r="F13" s="17"/>
    </row>
    <row r="14" spans="1:10" ht="27" x14ac:dyDescent="0.25">
      <c r="A14" s="43" t="s">
        <v>125</v>
      </c>
      <c r="B14" s="105" t="s">
        <v>136</v>
      </c>
      <c r="C14" s="97"/>
      <c r="D14" s="97" t="s">
        <v>137</v>
      </c>
      <c r="E14" s="98">
        <v>263654</v>
      </c>
      <c r="F14" s="98">
        <v>263654</v>
      </c>
      <c r="J14" s="1" t="s">
        <v>277</v>
      </c>
    </row>
    <row r="15" spans="1:10" x14ac:dyDescent="0.25">
      <c r="A15" s="43" t="s">
        <v>27</v>
      </c>
      <c r="B15" s="20" t="s">
        <v>134</v>
      </c>
      <c r="C15" s="99"/>
      <c r="D15" s="99" t="s">
        <v>138</v>
      </c>
      <c r="E15" s="21">
        <v>1223250</v>
      </c>
      <c r="F15" s="21">
        <f>E15*G15</f>
        <v>1149855</v>
      </c>
      <c r="G15" s="165">
        <v>0.94</v>
      </c>
      <c r="H15" s="8">
        <f>F15-E15</f>
        <v>-73395</v>
      </c>
      <c r="J15" s="1" t="s">
        <v>278</v>
      </c>
    </row>
    <row r="16" spans="1:10" x14ac:dyDescent="0.25">
      <c r="A16" s="43" t="s">
        <v>28</v>
      </c>
      <c r="B16" s="17" t="s">
        <v>135</v>
      </c>
      <c r="C16" s="97"/>
      <c r="D16" s="97" t="s">
        <v>138</v>
      </c>
      <c r="E16" s="22">
        <v>496261</v>
      </c>
      <c r="F16" s="22">
        <f>E16*G16</f>
        <v>466485.33999999997</v>
      </c>
      <c r="G16" s="165">
        <f>G15</f>
        <v>0.94</v>
      </c>
      <c r="H16" s="8">
        <f>F16-E16</f>
        <v>-29775.660000000033</v>
      </c>
      <c r="J16" s="1" t="s">
        <v>281</v>
      </c>
    </row>
    <row r="17" spans="1:10" ht="27.75" customHeight="1" x14ac:dyDescent="0.25">
      <c r="A17" s="43" t="s">
        <v>29</v>
      </c>
      <c r="B17" s="105" t="s">
        <v>139</v>
      </c>
      <c r="C17" s="97"/>
      <c r="D17" s="97" t="s">
        <v>141</v>
      </c>
      <c r="E17" s="22">
        <v>1055000</v>
      </c>
      <c r="F17" s="22">
        <v>1055000</v>
      </c>
      <c r="G17" s="165"/>
      <c r="H17" s="8">
        <f>SUM(H15:H16)</f>
        <v>-103170.66000000003</v>
      </c>
      <c r="J17" s="1" t="s">
        <v>282</v>
      </c>
    </row>
    <row r="18" spans="1:10" x14ac:dyDescent="0.25">
      <c r="A18" s="43" t="s">
        <v>30</v>
      </c>
      <c r="B18" s="17" t="s">
        <v>140</v>
      </c>
      <c r="C18" s="100"/>
      <c r="D18" s="104" t="s">
        <v>141</v>
      </c>
      <c r="E18" s="24">
        <v>1491000</v>
      </c>
      <c r="F18" s="24">
        <v>1491000</v>
      </c>
      <c r="J18" s="1" t="s">
        <v>283</v>
      </c>
    </row>
    <row r="19" spans="1:10" ht="18" customHeight="1" x14ac:dyDescent="0.25">
      <c r="A19" s="23"/>
      <c r="B19" s="25"/>
      <c r="C19" s="26"/>
      <c r="D19" s="27" t="s">
        <v>71</v>
      </c>
      <c r="E19" s="28">
        <f>SUM(E14:E18)</f>
        <v>4529165</v>
      </c>
      <c r="F19" s="29">
        <f>SUM(F14:F18)</f>
        <v>4425994.34</v>
      </c>
      <c r="G19" s="30"/>
      <c r="J19" s="1" t="s">
        <v>284</v>
      </c>
    </row>
    <row r="20" spans="1:10" x14ac:dyDescent="0.25">
      <c r="J20" s="1" t="s">
        <v>279</v>
      </c>
    </row>
    <row r="21" spans="1:10" x14ac:dyDescent="0.25">
      <c r="F21" s="7">
        <f>F10-F19</f>
        <v>2213.813000000082</v>
      </c>
      <c r="J21" s="1" t="s">
        <v>285</v>
      </c>
    </row>
    <row r="22" spans="1:10" x14ac:dyDescent="0.25">
      <c r="J22" s="1" t="s">
        <v>286</v>
      </c>
    </row>
    <row r="23" spans="1:10" x14ac:dyDescent="0.25">
      <c r="J23" s="1" t="s">
        <v>280</v>
      </c>
    </row>
  </sheetData>
  <mergeCells count="1">
    <mergeCell ref="A1:F1"/>
  </mergeCells>
  <pageMargins left="0.75" right="0.75" top="1.75" bottom="1" header="0.5" footer="0.5"/>
  <pageSetup scale="96" orientation="portrait" r:id="rId1"/>
  <headerFooter alignWithMargins="0">
    <oddHeader>&amp;L&amp;G&amp;C&amp;"+,Regular"&amp;11&amp;K004EBC
&amp;"+,Bold"MEASURE A 
LOCAL STREETS 
AND ROADS PROGRAM</oddHeader>
    <oddFooter>&amp;C&amp;"+,Regular"&amp;9&amp;A
Page &amp;P of &amp;N</oddFooter>
  </headerFooter>
  <legacyDrawingHF r:id="rId2"/>
  <extLst>
    <ext xmlns:x14="http://schemas.microsoft.com/office/spreadsheetml/2009/9/main" uri="{CCE6A557-97BC-4b89-ADB6-D9C93CAAB3DF}">
      <x14:dataValidations xmlns:xm="http://schemas.microsoft.com/office/excel/2006/main" count="1">
        <x14:dataValidation type="list" showInputMessage="1" showErrorMessage="1">
          <x14:formula1>
            <xm:f>Sheet1!$A$5:$A$38</xm:f>
          </x14:formula1>
          <xm:sqref>B3</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P45"/>
  <sheetViews>
    <sheetView showRuler="0" view="pageBreakPreview" zoomScaleNormal="100" zoomScaleSheetLayoutView="100" workbookViewId="0">
      <selection activeCell="B20" sqref="B20"/>
    </sheetView>
  </sheetViews>
  <sheetFormatPr defaultRowHeight="13.5" x14ac:dyDescent="0.25"/>
  <cols>
    <col min="1" max="1" width="12.7109375" style="3" bestFit="1" customWidth="1"/>
    <col min="2" max="2" width="30" style="3" customWidth="1"/>
    <col min="3" max="3" width="1.7109375" style="3" customWidth="1"/>
    <col min="4" max="4" width="20" style="3" customWidth="1"/>
    <col min="5" max="5" width="15.42578125" style="3" customWidth="1"/>
    <col min="6" max="6" width="16.85546875" style="3" customWidth="1"/>
    <col min="7" max="7" width="14.7109375" style="3" customWidth="1"/>
    <col min="8" max="8" width="18.28515625" style="3" customWidth="1"/>
    <col min="9" max="9" width="9.140625" style="3" hidden="1" customWidth="1"/>
    <col min="10" max="10" width="29.28515625" style="3" hidden="1" customWidth="1"/>
    <col min="11" max="11" width="11.85546875" style="3" hidden="1" customWidth="1"/>
    <col min="12" max="12" width="14" style="3" hidden="1" customWidth="1"/>
    <col min="13" max="13" width="13.42578125" style="3" hidden="1" customWidth="1"/>
    <col min="14" max="14" width="7.5703125" style="3" hidden="1" customWidth="1"/>
    <col min="15" max="15" width="14.42578125" style="3" hidden="1" customWidth="1"/>
    <col min="16" max="16" width="9.140625" style="3" hidden="1" customWidth="1"/>
    <col min="17" max="16384" width="9.140625" style="3"/>
  </cols>
  <sheetData>
    <row r="1" spans="1:16" ht="17.25" x14ac:dyDescent="0.3">
      <c r="A1" s="150" t="s">
        <v>77</v>
      </c>
      <c r="B1" s="150"/>
      <c r="C1" s="150"/>
      <c r="D1" s="150"/>
      <c r="E1" s="150"/>
      <c r="F1" s="150"/>
      <c r="G1" s="163"/>
      <c r="H1" s="163"/>
    </row>
    <row r="3" spans="1:16" x14ac:dyDescent="0.25">
      <c r="A3" s="4" t="s">
        <v>72</v>
      </c>
      <c r="B3" s="5" t="s">
        <v>48</v>
      </c>
      <c r="C3" s="4"/>
    </row>
    <row r="4" spans="1:16" x14ac:dyDescent="0.25">
      <c r="A4" s="4" t="s">
        <v>73</v>
      </c>
      <c r="B4" s="5" t="s">
        <v>132</v>
      </c>
      <c r="C4" s="4"/>
    </row>
    <row r="5" spans="1:16" x14ac:dyDescent="0.25">
      <c r="A5" s="4" t="s">
        <v>74</v>
      </c>
      <c r="B5" s="95" t="s">
        <v>133</v>
      </c>
      <c r="C5" s="4"/>
    </row>
    <row r="6" spans="1:16" x14ac:dyDescent="0.25">
      <c r="A6" s="4" t="s">
        <v>76</v>
      </c>
      <c r="B6" s="149">
        <v>43185</v>
      </c>
      <c r="C6" s="4"/>
    </row>
    <row r="8" spans="1:16" ht="64.5" x14ac:dyDescent="0.25">
      <c r="A8" s="31" t="s">
        <v>70</v>
      </c>
      <c r="B8" s="32" t="s">
        <v>0</v>
      </c>
      <c r="C8" s="33"/>
      <c r="D8" s="34" t="s">
        <v>1</v>
      </c>
      <c r="E8" s="31" t="s">
        <v>5</v>
      </c>
      <c r="F8" s="31" t="s">
        <v>75</v>
      </c>
      <c r="G8" s="31" t="s">
        <v>6</v>
      </c>
      <c r="H8" s="35" t="s">
        <v>2</v>
      </c>
      <c r="I8" s="112" t="s">
        <v>178</v>
      </c>
      <c r="J8" s="131" t="s">
        <v>179</v>
      </c>
      <c r="K8" s="131" t="s">
        <v>206</v>
      </c>
      <c r="L8" s="131" t="s">
        <v>205</v>
      </c>
      <c r="M8" s="131" t="s">
        <v>216</v>
      </c>
      <c r="N8" s="112" t="s">
        <v>207</v>
      </c>
      <c r="O8" s="112" t="s">
        <v>209</v>
      </c>
    </row>
    <row r="9" spans="1:16" x14ac:dyDescent="0.25">
      <c r="A9" s="102">
        <v>1</v>
      </c>
      <c r="B9" s="18" t="s">
        <v>142</v>
      </c>
      <c r="C9" s="97"/>
      <c r="D9" s="97" t="s">
        <v>137</v>
      </c>
      <c r="E9" s="144">
        <v>383619</v>
      </c>
      <c r="F9" s="114">
        <v>383619</v>
      </c>
      <c r="G9" s="115" t="s">
        <v>175</v>
      </c>
      <c r="H9" s="116" t="s">
        <v>176</v>
      </c>
    </row>
    <row r="10" spans="1:16" x14ac:dyDescent="0.25">
      <c r="A10" s="102">
        <v>2</v>
      </c>
      <c r="B10" s="18" t="s">
        <v>134</v>
      </c>
      <c r="C10" s="97"/>
      <c r="D10" s="97" t="s">
        <v>138</v>
      </c>
      <c r="E10" s="144">
        <v>1176903</v>
      </c>
      <c r="F10" s="114">
        <v>1176903</v>
      </c>
      <c r="G10" s="115" t="s">
        <v>175</v>
      </c>
      <c r="H10" s="116" t="s">
        <v>176</v>
      </c>
    </row>
    <row r="11" spans="1:16" x14ac:dyDescent="0.25">
      <c r="A11" s="102">
        <v>3</v>
      </c>
      <c r="B11" s="101" t="s">
        <v>135</v>
      </c>
      <c r="C11" s="99"/>
      <c r="D11" s="99" t="s">
        <v>138</v>
      </c>
      <c r="E11" s="146">
        <v>475660</v>
      </c>
      <c r="F11" s="117">
        <v>475660</v>
      </c>
      <c r="G11" s="118" t="s">
        <v>175</v>
      </c>
      <c r="H11" s="116" t="s">
        <v>176</v>
      </c>
    </row>
    <row r="12" spans="1:16" ht="40.5" x14ac:dyDescent="0.25">
      <c r="A12" s="102">
        <v>4</v>
      </c>
      <c r="B12" s="106" t="s">
        <v>143</v>
      </c>
      <c r="C12" s="97"/>
      <c r="D12" s="97" t="s">
        <v>141</v>
      </c>
      <c r="E12" s="144">
        <v>1058000</v>
      </c>
      <c r="F12" s="114">
        <v>1058000</v>
      </c>
      <c r="G12" s="119" t="s">
        <v>175</v>
      </c>
      <c r="H12" s="116" t="s">
        <v>176</v>
      </c>
    </row>
    <row r="13" spans="1:16" x14ac:dyDescent="0.25">
      <c r="A13" s="102">
        <v>5</v>
      </c>
      <c r="B13" s="18" t="s">
        <v>140</v>
      </c>
      <c r="C13" s="97"/>
      <c r="D13" s="97" t="s">
        <v>141</v>
      </c>
      <c r="E13" s="144">
        <v>1489000</v>
      </c>
      <c r="F13" s="114">
        <v>1489000</v>
      </c>
      <c r="G13" s="119" t="s">
        <v>175</v>
      </c>
      <c r="H13" s="116" t="s">
        <v>176</v>
      </c>
    </row>
    <row r="14" spans="1:16" ht="27" x14ac:dyDescent="0.25">
      <c r="A14" s="102">
        <v>6</v>
      </c>
      <c r="B14" s="110" t="s">
        <v>170</v>
      </c>
      <c r="C14" s="36"/>
      <c r="D14" s="108" t="s">
        <v>144</v>
      </c>
      <c r="E14" s="144">
        <v>586370</v>
      </c>
      <c r="F14" s="126">
        <f>410459*10%</f>
        <v>41045.9</v>
      </c>
      <c r="G14" s="143">
        <v>43282</v>
      </c>
      <c r="H14" s="122" t="s">
        <v>247</v>
      </c>
      <c r="I14" s="3" t="s">
        <v>201</v>
      </c>
      <c r="J14" s="3" t="s">
        <v>254</v>
      </c>
      <c r="K14" s="3" t="s">
        <v>274</v>
      </c>
    </row>
    <row r="15" spans="1:16" ht="54" x14ac:dyDescent="0.25">
      <c r="A15" s="102">
        <v>7</v>
      </c>
      <c r="B15" s="106" t="s">
        <v>276</v>
      </c>
      <c r="C15" s="103"/>
      <c r="D15" s="97" t="s">
        <v>144</v>
      </c>
      <c r="E15" s="144">
        <v>586370</v>
      </c>
      <c r="F15" s="114">
        <v>45501</v>
      </c>
      <c r="G15" s="143">
        <v>43299</v>
      </c>
      <c r="H15" s="116" t="s">
        <v>247</v>
      </c>
      <c r="I15" s="138"/>
      <c r="J15" s="142">
        <v>45501</v>
      </c>
      <c r="K15" s="142">
        <v>45501</v>
      </c>
      <c r="L15" s="142"/>
      <c r="M15" s="142">
        <f>J15-K15-L15</f>
        <v>0</v>
      </c>
      <c r="N15" s="138"/>
      <c r="O15" s="138"/>
    </row>
    <row r="16" spans="1:16" ht="27" x14ac:dyDescent="0.25">
      <c r="A16" s="102">
        <v>8</v>
      </c>
      <c r="B16" s="106" t="s">
        <v>145</v>
      </c>
      <c r="C16" s="97"/>
      <c r="D16" s="97" t="s">
        <v>144</v>
      </c>
      <c r="E16" s="144">
        <v>1049328</v>
      </c>
      <c r="F16" s="117">
        <f>700000*10%</f>
        <v>70000</v>
      </c>
      <c r="G16" s="132">
        <v>43191</v>
      </c>
      <c r="H16" s="133" t="s">
        <v>221</v>
      </c>
      <c r="I16" s="138" t="s">
        <v>187</v>
      </c>
      <c r="J16" s="142" t="s">
        <v>217</v>
      </c>
      <c r="K16" s="142">
        <v>648638.76</v>
      </c>
      <c r="L16" s="142">
        <f>254519.19-112640</f>
        <v>141879.19</v>
      </c>
      <c r="M16" s="142">
        <v>-23669.95</v>
      </c>
      <c r="N16" s="138" t="s">
        <v>208</v>
      </c>
      <c r="O16" s="138" t="s">
        <v>210</v>
      </c>
      <c r="P16" s="3" t="s">
        <v>263</v>
      </c>
    </row>
    <row r="17" spans="1:16" ht="27" x14ac:dyDescent="0.25">
      <c r="A17" s="102">
        <v>9</v>
      </c>
      <c r="B17" s="106" t="s">
        <v>146</v>
      </c>
      <c r="C17" s="97"/>
      <c r="D17" s="97" t="s">
        <v>144</v>
      </c>
      <c r="E17" s="144">
        <v>440964</v>
      </c>
      <c r="F17" s="117">
        <v>17000</v>
      </c>
      <c r="G17" s="118" t="s">
        <v>175</v>
      </c>
      <c r="H17" s="134" t="s">
        <v>222</v>
      </c>
      <c r="I17" s="138" t="s">
        <v>180</v>
      </c>
      <c r="J17" s="142">
        <v>240964</v>
      </c>
      <c r="K17" s="142">
        <v>9431.8799999999992</v>
      </c>
      <c r="L17" s="142">
        <v>7962.5</v>
      </c>
      <c r="M17" s="142">
        <f t="shared" ref="M17:M39" si="0">J17-K17-L17</f>
        <v>223569.62</v>
      </c>
      <c r="N17" s="138" t="s">
        <v>208</v>
      </c>
      <c r="O17" s="138"/>
      <c r="P17" s="3" t="s">
        <v>264</v>
      </c>
    </row>
    <row r="18" spans="1:16" x14ac:dyDescent="0.25">
      <c r="A18" s="102">
        <v>10</v>
      </c>
      <c r="B18" s="110" t="s">
        <v>171</v>
      </c>
      <c r="C18" s="36"/>
      <c r="D18" s="108" t="s">
        <v>144</v>
      </c>
      <c r="E18" s="144">
        <v>226167</v>
      </c>
      <c r="F18" s="126">
        <f>88667*20%</f>
        <v>17733.400000000001</v>
      </c>
      <c r="G18" s="143">
        <v>43252</v>
      </c>
      <c r="H18" s="122" t="s">
        <v>248</v>
      </c>
      <c r="I18" s="3" t="s">
        <v>202</v>
      </c>
      <c r="J18" s="3" t="s">
        <v>255</v>
      </c>
      <c r="K18" s="3" t="s">
        <v>271</v>
      </c>
    </row>
    <row r="19" spans="1:16" ht="40.5" x14ac:dyDescent="0.25">
      <c r="A19" s="102">
        <v>11</v>
      </c>
      <c r="B19" s="136" t="s">
        <v>147</v>
      </c>
      <c r="C19" s="97"/>
      <c r="D19" s="107" t="s">
        <v>166</v>
      </c>
      <c r="E19" s="144">
        <v>109755</v>
      </c>
      <c r="F19" s="117">
        <f>25000*50%</f>
        <v>12500</v>
      </c>
      <c r="G19" s="132">
        <v>43435</v>
      </c>
      <c r="H19" s="133" t="s">
        <v>221</v>
      </c>
      <c r="I19" s="138" t="s">
        <v>188</v>
      </c>
      <c r="J19" s="142" t="s">
        <v>218</v>
      </c>
      <c r="K19" s="142">
        <v>72.25</v>
      </c>
      <c r="L19" s="142">
        <v>11647.2</v>
      </c>
      <c r="M19" s="142">
        <v>98035.55</v>
      </c>
      <c r="N19" s="138" t="s">
        <v>208</v>
      </c>
      <c r="O19" s="138" t="s">
        <v>211</v>
      </c>
      <c r="P19" s="3" t="s">
        <v>265</v>
      </c>
    </row>
    <row r="20" spans="1:16" ht="27" x14ac:dyDescent="0.25">
      <c r="A20" s="102">
        <v>12</v>
      </c>
      <c r="B20" s="106" t="s">
        <v>148</v>
      </c>
      <c r="C20" s="97"/>
      <c r="D20" s="97" t="s">
        <v>144</v>
      </c>
      <c r="E20" s="144">
        <v>263596</v>
      </c>
      <c r="F20" s="117">
        <v>40000</v>
      </c>
      <c r="G20" s="118" t="s">
        <v>175</v>
      </c>
      <c r="H20" s="134" t="s">
        <v>222</v>
      </c>
      <c r="I20" s="138" t="s">
        <v>177</v>
      </c>
      <c r="J20" s="142">
        <v>263596</v>
      </c>
      <c r="K20" s="142">
        <v>28322.51</v>
      </c>
      <c r="L20" s="142">
        <v>16110</v>
      </c>
      <c r="M20" s="142">
        <f t="shared" si="0"/>
        <v>219163.49</v>
      </c>
      <c r="N20" s="138" t="s">
        <v>208</v>
      </c>
      <c r="O20" s="138"/>
      <c r="P20" s="3" t="s">
        <v>266</v>
      </c>
    </row>
    <row r="21" spans="1:16" ht="40.5" x14ac:dyDescent="0.25">
      <c r="A21" s="102">
        <v>13</v>
      </c>
      <c r="B21" s="106" t="s">
        <v>149</v>
      </c>
      <c r="C21" s="97"/>
      <c r="D21" s="97" t="s">
        <v>144</v>
      </c>
      <c r="E21" s="144">
        <v>1579662</v>
      </c>
      <c r="F21" s="117">
        <v>0</v>
      </c>
      <c r="G21" s="132">
        <v>43435</v>
      </c>
      <c r="H21" s="133" t="s">
        <v>221</v>
      </c>
      <c r="I21" s="138" t="s">
        <v>190</v>
      </c>
      <c r="J21" s="142">
        <v>6404</v>
      </c>
      <c r="K21" s="142">
        <v>0</v>
      </c>
      <c r="L21" s="142">
        <v>0</v>
      </c>
      <c r="M21" s="142">
        <f t="shared" si="0"/>
        <v>6404</v>
      </c>
      <c r="N21" s="138"/>
      <c r="O21" s="138"/>
      <c r="P21" s="3" t="s">
        <v>266</v>
      </c>
    </row>
    <row r="22" spans="1:16" ht="27" x14ac:dyDescent="0.25">
      <c r="A22" s="102">
        <v>14</v>
      </c>
      <c r="B22" s="136" t="s">
        <v>150</v>
      </c>
      <c r="C22" s="97"/>
      <c r="D22" s="97" t="s">
        <v>144</v>
      </c>
      <c r="E22" s="144">
        <v>70000</v>
      </c>
      <c r="F22" s="117">
        <v>0</v>
      </c>
      <c r="G22" s="132">
        <v>43435</v>
      </c>
      <c r="H22" s="133" t="s">
        <v>225</v>
      </c>
      <c r="I22" s="138" t="s">
        <v>192</v>
      </c>
      <c r="J22" s="142">
        <v>18000</v>
      </c>
      <c r="K22" s="142">
        <v>0</v>
      </c>
      <c r="L22" s="142">
        <v>0</v>
      </c>
      <c r="M22" s="142">
        <f t="shared" si="0"/>
        <v>18000</v>
      </c>
      <c r="N22" s="138"/>
      <c r="O22" s="138"/>
      <c r="P22" s="3" t="s">
        <v>265</v>
      </c>
    </row>
    <row r="23" spans="1:16" ht="27" x14ac:dyDescent="0.25">
      <c r="A23" s="102">
        <v>15</v>
      </c>
      <c r="B23" s="106" t="s">
        <v>151</v>
      </c>
      <c r="C23" s="97"/>
      <c r="D23" s="97" t="s">
        <v>144</v>
      </c>
      <c r="E23" s="144">
        <v>853496</v>
      </c>
      <c r="F23" s="117">
        <v>195169</v>
      </c>
      <c r="G23" s="132">
        <v>43221</v>
      </c>
      <c r="H23" s="133" t="s">
        <v>221</v>
      </c>
      <c r="I23" s="138" t="s">
        <v>185</v>
      </c>
      <c r="J23" s="142">
        <v>269780</v>
      </c>
      <c r="K23" s="142">
        <v>55169.91</v>
      </c>
      <c r="L23" s="142">
        <v>0</v>
      </c>
      <c r="M23" s="142">
        <f t="shared" si="0"/>
        <v>214610.09</v>
      </c>
      <c r="N23" s="138" t="s">
        <v>208</v>
      </c>
      <c r="O23" s="138"/>
      <c r="P23" s="3" t="s">
        <v>261</v>
      </c>
    </row>
    <row r="24" spans="1:16" ht="27" x14ac:dyDescent="0.25">
      <c r="A24" s="102">
        <v>16</v>
      </c>
      <c r="B24" s="106" t="s">
        <v>152</v>
      </c>
      <c r="C24" s="97"/>
      <c r="D24" s="97" t="s">
        <v>144</v>
      </c>
      <c r="E24" s="144">
        <v>952000</v>
      </c>
      <c r="F24" s="117">
        <v>15000</v>
      </c>
      <c r="G24" s="132">
        <v>44166</v>
      </c>
      <c r="H24" s="134" t="s">
        <v>223</v>
      </c>
      <c r="I24" s="138" t="s">
        <v>182</v>
      </c>
      <c r="J24" s="142">
        <v>30000</v>
      </c>
      <c r="K24" s="142">
        <v>46.13</v>
      </c>
      <c r="L24" s="142">
        <v>0</v>
      </c>
      <c r="M24" s="142">
        <f t="shared" si="0"/>
        <v>29953.87</v>
      </c>
      <c r="N24" s="138"/>
      <c r="O24" s="138"/>
      <c r="P24" s="3" t="s">
        <v>263</v>
      </c>
    </row>
    <row r="25" spans="1:16" ht="27" x14ac:dyDescent="0.25">
      <c r="A25" s="102">
        <v>17</v>
      </c>
      <c r="B25" s="106" t="s">
        <v>153</v>
      </c>
      <c r="C25" s="97"/>
      <c r="D25" s="97" t="s">
        <v>144</v>
      </c>
      <c r="E25" s="144">
        <v>16083</v>
      </c>
      <c r="F25" s="117">
        <v>15083</v>
      </c>
      <c r="G25" s="132" t="s">
        <v>175</v>
      </c>
      <c r="H25" s="134" t="s">
        <v>222</v>
      </c>
      <c r="I25" s="138" t="s">
        <v>191</v>
      </c>
      <c r="J25" s="142">
        <v>16083</v>
      </c>
      <c r="K25" s="142">
        <v>4142.2</v>
      </c>
      <c r="L25" s="142">
        <v>11000</v>
      </c>
      <c r="M25" s="142">
        <f t="shared" si="0"/>
        <v>940.79999999999927</v>
      </c>
      <c r="N25" s="138" t="s">
        <v>208</v>
      </c>
      <c r="O25" s="138"/>
      <c r="P25" s="3" t="s">
        <v>267</v>
      </c>
    </row>
    <row r="26" spans="1:16" ht="27" x14ac:dyDescent="0.25">
      <c r="A26" s="102">
        <v>18</v>
      </c>
      <c r="B26" s="106" t="s">
        <v>154</v>
      </c>
      <c r="C26" s="97"/>
      <c r="D26" s="97" t="s">
        <v>144</v>
      </c>
      <c r="E26" s="144">
        <v>5770</v>
      </c>
      <c r="F26" s="117">
        <v>3000</v>
      </c>
      <c r="G26" s="132">
        <v>43160</v>
      </c>
      <c r="H26" s="133" t="s">
        <v>224</v>
      </c>
      <c r="I26" s="138" t="s">
        <v>181</v>
      </c>
      <c r="J26" s="142">
        <v>5770</v>
      </c>
      <c r="K26" s="142">
        <v>2824.6</v>
      </c>
      <c r="L26" s="142">
        <v>0</v>
      </c>
      <c r="M26" s="142">
        <f t="shared" si="0"/>
        <v>2945.4</v>
      </c>
      <c r="N26" s="138" t="s">
        <v>208</v>
      </c>
      <c r="O26" s="138"/>
      <c r="P26" s="3" t="s">
        <v>266</v>
      </c>
    </row>
    <row r="27" spans="1:16" ht="40.5" x14ac:dyDescent="0.25">
      <c r="A27" s="102">
        <v>19</v>
      </c>
      <c r="B27" s="106" t="s">
        <v>155</v>
      </c>
      <c r="C27" s="97"/>
      <c r="D27" s="97" t="s">
        <v>144</v>
      </c>
      <c r="E27" s="144">
        <v>124675</v>
      </c>
      <c r="F27" s="117">
        <v>67000</v>
      </c>
      <c r="G27" s="135" t="s">
        <v>175</v>
      </c>
      <c r="H27" s="134" t="s">
        <v>222</v>
      </c>
      <c r="I27" s="138" t="s">
        <v>184</v>
      </c>
      <c r="J27" s="142">
        <v>74675</v>
      </c>
      <c r="K27" s="142">
        <v>37384.519999999997</v>
      </c>
      <c r="L27" s="142">
        <v>30600</v>
      </c>
      <c r="M27" s="142">
        <f t="shared" si="0"/>
        <v>6690.4800000000032</v>
      </c>
      <c r="N27" s="138" t="s">
        <v>208</v>
      </c>
      <c r="O27" s="138"/>
      <c r="P27" s="3" t="s">
        <v>262</v>
      </c>
    </row>
    <row r="28" spans="1:16" ht="27" x14ac:dyDescent="0.25">
      <c r="A28" s="102">
        <v>20</v>
      </c>
      <c r="B28" s="106" t="s">
        <v>156</v>
      </c>
      <c r="C28" s="97"/>
      <c r="D28" s="97" t="s">
        <v>144</v>
      </c>
      <c r="E28" s="144">
        <v>2344066</v>
      </c>
      <c r="F28" s="117">
        <v>200000</v>
      </c>
      <c r="G28" s="132">
        <v>45261</v>
      </c>
      <c r="H28" s="134" t="s">
        <v>223</v>
      </c>
      <c r="I28" s="138" t="s">
        <v>189</v>
      </c>
      <c r="J28" s="142">
        <v>505939</v>
      </c>
      <c r="K28" s="142">
        <v>9429.07</v>
      </c>
      <c r="L28" s="142">
        <v>595578.37</v>
      </c>
      <c r="M28" s="142">
        <f t="shared" si="0"/>
        <v>-99068.44</v>
      </c>
      <c r="N28" s="138" t="s">
        <v>208</v>
      </c>
      <c r="O28" s="138"/>
      <c r="P28" s="3" t="s">
        <v>263</v>
      </c>
    </row>
    <row r="29" spans="1:16" ht="54" x14ac:dyDescent="0.25">
      <c r="A29" s="102">
        <v>21</v>
      </c>
      <c r="B29" s="106" t="s">
        <v>157</v>
      </c>
      <c r="C29" s="97"/>
      <c r="D29" s="97" t="s">
        <v>144</v>
      </c>
      <c r="E29" s="144">
        <v>3809308</v>
      </c>
      <c r="F29" s="117">
        <f>75000*25%</f>
        <v>18750</v>
      </c>
      <c r="G29" s="132">
        <v>43617</v>
      </c>
      <c r="H29" s="133" t="s">
        <v>225</v>
      </c>
      <c r="I29" s="138" t="s">
        <v>183</v>
      </c>
      <c r="J29" s="140" t="s">
        <v>186</v>
      </c>
      <c r="K29" s="140" t="s">
        <v>212</v>
      </c>
      <c r="L29" s="140" t="s">
        <v>213</v>
      </c>
      <c r="M29" s="140" t="s">
        <v>214</v>
      </c>
      <c r="N29" s="147" t="s">
        <v>220</v>
      </c>
      <c r="O29" s="138" t="s">
        <v>215</v>
      </c>
      <c r="P29" s="3" t="s">
        <v>266</v>
      </c>
    </row>
    <row r="30" spans="1:16" x14ac:dyDescent="0.25">
      <c r="A30" s="102">
        <v>22</v>
      </c>
      <c r="B30" s="106" t="s">
        <v>158</v>
      </c>
      <c r="C30" s="97"/>
      <c r="D30" s="97" t="s">
        <v>167</v>
      </c>
      <c r="E30" s="144">
        <v>127258</v>
      </c>
      <c r="F30" s="117">
        <v>25000</v>
      </c>
      <c r="G30" s="132">
        <v>43282</v>
      </c>
      <c r="H30" s="133" t="s">
        <v>221</v>
      </c>
      <c r="I30" s="138" t="s">
        <v>196</v>
      </c>
      <c r="J30" s="142">
        <v>25000</v>
      </c>
      <c r="K30" s="142">
        <v>0</v>
      </c>
      <c r="L30" s="142">
        <v>25000</v>
      </c>
      <c r="M30" s="142">
        <f t="shared" si="0"/>
        <v>0</v>
      </c>
      <c r="N30" s="138"/>
      <c r="O30" s="138"/>
      <c r="P30" s="3" t="s">
        <v>261</v>
      </c>
    </row>
    <row r="31" spans="1:16" ht="27" x14ac:dyDescent="0.25">
      <c r="A31" s="102">
        <v>23</v>
      </c>
      <c r="B31" s="106" t="s">
        <v>159</v>
      </c>
      <c r="C31" s="97"/>
      <c r="D31" s="97" t="s">
        <v>167</v>
      </c>
      <c r="E31" s="144">
        <v>305498</v>
      </c>
      <c r="F31" s="117">
        <v>7000</v>
      </c>
      <c r="G31" s="132">
        <v>43800</v>
      </c>
      <c r="H31" s="133" t="s">
        <v>221</v>
      </c>
      <c r="I31" s="138" t="s">
        <v>193</v>
      </c>
      <c r="J31" s="142">
        <v>13533</v>
      </c>
      <c r="K31" s="142">
        <v>0</v>
      </c>
      <c r="L31" s="142">
        <v>2710.36</v>
      </c>
      <c r="M31" s="142">
        <f t="shared" si="0"/>
        <v>10822.64</v>
      </c>
      <c r="N31" s="138"/>
      <c r="O31" s="138"/>
      <c r="P31" s="3" t="s">
        <v>261</v>
      </c>
    </row>
    <row r="32" spans="1:16" ht="27" x14ac:dyDescent="0.25">
      <c r="A32" s="102">
        <v>24</v>
      </c>
      <c r="B32" s="106" t="s">
        <v>160</v>
      </c>
      <c r="C32" s="97"/>
      <c r="D32" s="97" t="s">
        <v>167</v>
      </c>
      <c r="E32" s="144">
        <v>1540204</v>
      </c>
      <c r="F32" s="117">
        <v>95552</v>
      </c>
      <c r="G32" s="132">
        <v>43252</v>
      </c>
      <c r="H32" s="133" t="s">
        <v>221</v>
      </c>
      <c r="I32" s="138" t="s">
        <v>195</v>
      </c>
      <c r="J32" s="142">
        <v>100552</v>
      </c>
      <c r="K32" s="142">
        <v>47006.18</v>
      </c>
      <c r="L32" s="142">
        <v>48146.76</v>
      </c>
      <c r="M32" s="142">
        <f t="shared" si="0"/>
        <v>5399.0599999999977</v>
      </c>
      <c r="N32" s="138"/>
      <c r="O32" s="138"/>
      <c r="P32" s="3" t="s">
        <v>261</v>
      </c>
    </row>
    <row r="33" spans="1:16" ht="27" x14ac:dyDescent="0.25">
      <c r="A33" s="102">
        <v>25</v>
      </c>
      <c r="B33" s="106" t="s">
        <v>161</v>
      </c>
      <c r="C33" s="97"/>
      <c r="D33" s="97" t="s">
        <v>167</v>
      </c>
      <c r="E33" s="144">
        <v>2188787</v>
      </c>
      <c r="F33" s="117">
        <f>70000*25%</f>
        <v>17500</v>
      </c>
      <c r="G33" s="132">
        <v>43617</v>
      </c>
      <c r="H33" s="133" t="s">
        <v>225</v>
      </c>
      <c r="I33" s="138" t="s">
        <v>194</v>
      </c>
      <c r="J33" s="142" t="s">
        <v>219</v>
      </c>
      <c r="K33" s="142">
        <v>38470.589999999997</v>
      </c>
      <c r="L33" s="142">
        <v>62419.81</v>
      </c>
      <c r="M33" s="142">
        <v>1009787</v>
      </c>
      <c r="N33" s="138" t="s">
        <v>208</v>
      </c>
      <c r="O33" s="138" t="s">
        <v>215</v>
      </c>
      <c r="P33" s="3" t="s">
        <v>266</v>
      </c>
    </row>
    <row r="34" spans="1:16" ht="27" x14ac:dyDescent="0.25">
      <c r="A34" s="102">
        <v>26</v>
      </c>
      <c r="B34" s="106" t="s">
        <v>162</v>
      </c>
      <c r="C34" s="97"/>
      <c r="D34" s="97" t="s">
        <v>168</v>
      </c>
      <c r="E34" s="144">
        <v>432716</v>
      </c>
      <c r="F34" s="117">
        <v>32000</v>
      </c>
      <c r="G34" s="132">
        <v>43435</v>
      </c>
      <c r="H34" s="133" t="s">
        <v>225</v>
      </c>
      <c r="I34" s="138" t="s">
        <v>198</v>
      </c>
      <c r="J34" s="142">
        <v>37516</v>
      </c>
      <c r="K34" s="142">
        <v>21598.48</v>
      </c>
      <c r="L34" s="142">
        <v>15917.52</v>
      </c>
      <c r="M34" s="142">
        <f t="shared" si="0"/>
        <v>0</v>
      </c>
      <c r="N34" s="138"/>
      <c r="O34" s="138"/>
      <c r="P34" s="3" t="s">
        <v>262</v>
      </c>
    </row>
    <row r="35" spans="1:16" ht="27" x14ac:dyDescent="0.25">
      <c r="A35" s="102">
        <v>27</v>
      </c>
      <c r="B35" s="110" t="s">
        <v>162</v>
      </c>
      <c r="C35" s="36"/>
      <c r="D35" s="108" t="s">
        <v>169</v>
      </c>
      <c r="E35" s="144">
        <v>432716</v>
      </c>
      <c r="F35" s="148">
        <v>3597</v>
      </c>
      <c r="G35" s="121">
        <v>43435</v>
      </c>
      <c r="H35" s="122" t="s">
        <v>225</v>
      </c>
      <c r="I35" s="3" t="s">
        <v>198</v>
      </c>
      <c r="J35" s="3" t="s">
        <v>256</v>
      </c>
      <c r="K35" s="3" t="s">
        <v>272</v>
      </c>
    </row>
    <row r="36" spans="1:16" x14ac:dyDescent="0.25">
      <c r="A36" s="102">
        <v>28</v>
      </c>
      <c r="B36" s="110" t="s">
        <v>172</v>
      </c>
      <c r="C36" s="36"/>
      <c r="D36" s="108" t="s">
        <v>169</v>
      </c>
      <c r="E36" s="144">
        <v>2341236</v>
      </c>
      <c r="F36" s="148">
        <v>7231</v>
      </c>
      <c r="G36" s="121">
        <v>43435</v>
      </c>
      <c r="H36" s="122" t="s">
        <v>225</v>
      </c>
      <c r="I36" s="3" t="s">
        <v>203</v>
      </c>
      <c r="J36" s="3" t="s">
        <v>257</v>
      </c>
      <c r="K36" s="3" t="s">
        <v>273</v>
      </c>
    </row>
    <row r="37" spans="1:16" ht="27" x14ac:dyDescent="0.25">
      <c r="A37" s="102">
        <v>29</v>
      </c>
      <c r="B37" s="106" t="s">
        <v>163</v>
      </c>
      <c r="C37" s="97"/>
      <c r="D37" s="97" t="s">
        <v>169</v>
      </c>
      <c r="E37" s="144">
        <v>203993</v>
      </c>
      <c r="F37" s="117">
        <v>0</v>
      </c>
      <c r="G37" s="135" t="s">
        <v>226</v>
      </c>
      <c r="H37" s="133" t="s">
        <v>226</v>
      </c>
      <c r="I37" s="138" t="s">
        <v>199</v>
      </c>
      <c r="J37" s="142">
        <v>203993</v>
      </c>
      <c r="K37" s="142">
        <v>0</v>
      </c>
      <c r="L37" s="142">
        <v>0</v>
      </c>
      <c r="M37" s="142">
        <f t="shared" si="0"/>
        <v>203993</v>
      </c>
      <c r="N37" s="138" t="s">
        <v>208</v>
      </c>
      <c r="O37" s="138"/>
      <c r="P37" s="3" t="s">
        <v>262</v>
      </c>
    </row>
    <row r="38" spans="1:16" ht="27" x14ac:dyDescent="0.25">
      <c r="A38" s="102">
        <v>30</v>
      </c>
      <c r="B38" s="106" t="s">
        <v>164</v>
      </c>
      <c r="C38" s="97"/>
      <c r="D38" s="97" t="s">
        <v>169</v>
      </c>
      <c r="E38" s="144">
        <v>150000</v>
      </c>
      <c r="F38" s="117">
        <v>2000</v>
      </c>
      <c r="G38" s="132">
        <v>43617</v>
      </c>
      <c r="H38" s="134" t="s">
        <v>227</v>
      </c>
      <c r="I38" s="138" t="s">
        <v>200</v>
      </c>
      <c r="J38" s="142">
        <v>15000</v>
      </c>
      <c r="K38" s="142">
        <v>0</v>
      </c>
      <c r="L38" s="142">
        <v>0</v>
      </c>
      <c r="M38" s="142">
        <f t="shared" si="0"/>
        <v>15000</v>
      </c>
      <c r="N38" s="138"/>
      <c r="O38" s="138"/>
      <c r="P38" s="3" t="s">
        <v>262</v>
      </c>
    </row>
    <row r="39" spans="1:16" ht="27" x14ac:dyDescent="0.25">
      <c r="A39" s="102">
        <v>31</v>
      </c>
      <c r="B39" s="106" t="s">
        <v>165</v>
      </c>
      <c r="C39" s="97"/>
      <c r="D39" s="97" t="s">
        <v>169</v>
      </c>
      <c r="E39" s="144">
        <v>51804</v>
      </c>
      <c r="F39" s="117">
        <v>10000</v>
      </c>
      <c r="G39" s="135" t="s">
        <v>175</v>
      </c>
      <c r="H39" s="134" t="s">
        <v>222</v>
      </c>
      <c r="I39" s="138" t="s">
        <v>197</v>
      </c>
      <c r="J39" s="142">
        <v>51804</v>
      </c>
      <c r="K39" s="142">
        <v>7286.88</v>
      </c>
      <c r="L39" s="142">
        <v>7713.12</v>
      </c>
      <c r="M39" s="142">
        <f t="shared" si="0"/>
        <v>36804</v>
      </c>
      <c r="N39" s="138" t="s">
        <v>208</v>
      </c>
      <c r="O39" s="138"/>
      <c r="P39" s="3" t="s">
        <v>262</v>
      </c>
    </row>
    <row r="40" spans="1:16" ht="27" x14ac:dyDescent="0.25">
      <c r="A40" s="102">
        <v>32</v>
      </c>
      <c r="B40" s="111" t="s">
        <v>173</v>
      </c>
      <c r="C40" s="23"/>
      <c r="D40" s="109" t="s">
        <v>174</v>
      </c>
      <c r="E40" s="145">
        <v>114992</v>
      </c>
      <c r="F40" s="127">
        <f>66222*10%</f>
        <v>6622.2000000000007</v>
      </c>
      <c r="G40" s="129">
        <v>43070</v>
      </c>
      <c r="H40" s="123" t="s">
        <v>224</v>
      </c>
      <c r="I40" s="3" t="s">
        <v>204</v>
      </c>
      <c r="J40" s="3" t="s">
        <v>254</v>
      </c>
      <c r="K40" s="3" t="s">
        <v>270</v>
      </c>
    </row>
    <row r="41" spans="1:16" x14ac:dyDescent="0.25">
      <c r="A41" s="23"/>
      <c r="B41" s="25"/>
      <c r="C41" s="26"/>
      <c r="D41" s="27" t="s">
        <v>71</v>
      </c>
      <c r="E41" s="37">
        <f>SUM(E9:E40)</f>
        <v>25489996</v>
      </c>
      <c r="F41" s="38">
        <f>SUM(F9:F40)</f>
        <v>5547466.5000000009</v>
      </c>
      <c r="G41" s="39"/>
      <c r="H41" s="40"/>
    </row>
    <row r="42" spans="1:16" hidden="1" x14ac:dyDescent="0.25">
      <c r="A42" s="125" t="s">
        <v>249</v>
      </c>
      <c r="B42"/>
      <c r="C42"/>
      <c r="D42"/>
      <c r="E42"/>
      <c r="F42"/>
      <c r="G42"/>
      <c r="H42"/>
    </row>
    <row r="43" spans="1:16" hidden="1" x14ac:dyDescent="0.25">
      <c r="A43" s="154" t="s">
        <v>250</v>
      </c>
      <c r="B43" s="155"/>
      <c r="C43" s="155"/>
      <c r="D43" s="155"/>
      <c r="E43" s="155"/>
      <c r="F43" s="155"/>
      <c r="G43" s="155"/>
      <c r="H43" s="156"/>
    </row>
    <row r="44" spans="1:16" hidden="1" x14ac:dyDescent="0.25">
      <c r="A44" s="157"/>
      <c r="B44" s="158"/>
      <c r="C44" s="158"/>
      <c r="D44" s="158"/>
      <c r="E44" s="158"/>
      <c r="F44" s="158"/>
      <c r="G44" s="158"/>
      <c r="H44" s="159"/>
    </row>
    <row r="45" spans="1:16" hidden="1" x14ac:dyDescent="0.25">
      <c r="A45" s="160"/>
      <c r="B45" s="161"/>
      <c r="C45" s="161"/>
      <c r="D45" s="161"/>
      <c r="E45" s="161"/>
      <c r="F45" s="161"/>
      <c r="G45" s="161"/>
      <c r="H45" s="162"/>
    </row>
  </sheetData>
  <mergeCells count="2">
    <mergeCell ref="A43:H45"/>
    <mergeCell ref="A1:H1"/>
  </mergeCells>
  <pageMargins left="0.5" right="0.5" top="1.75" bottom="1" header="0.5" footer="0.5"/>
  <pageSetup paperSize="17" fitToHeight="0" orientation="landscape" r:id="rId1"/>
  <headerFooter alignWithMargins="0">
    <oddHeader>&amp;L&amp;G&amp;C&amp;"+,Regular"&amp;11&amp;K004EBC
&amp;"+,Bold"MEASURE A 
LOCAL STREETS 
AND ROADS PROGRAM</oddHeader>
    <oddFooter>&amp;C&amp;"+,Regular"&amp;9&amp;A
Page &amp;P of &amp;N</oddFooter>
  </headerFooter>
  <legacyDrawing r:id="rId2"/>
  <legacyDrawingHF r:id="rId3"/>
  <extLst>
    <ext xmlns:x14="http://schemas.microsoft.com/office/spreadsheetml/2009/9/main" uri="{CCE6A557-97BC-4b89-ADB6-D9C93CAAB3DF}">
      <x14:dataValidations xmlns:xm="http://schemas.microsoft.com/office/excel/2006/main" count="1">
        <x14:dataValidation type="list" showInputMessage="1" showErrorMessage="1">
          <x14:formula1>
            <xm:f>Sheet1!$A$5:$A$38</xm:f>
          </x14:formula1>
          <xm:sqref>B3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37"/>
  <sheetViews>
    <sheetView topLeftCell="A2" workbookViewId="0">
      <selection activeCell="A5" sqref="A5"/>
    </sheetView>
  </sheetViews>
  <sheetFormatPr defaultRowHeight="12.75" x14ac:dyDescent="0.2"/>
  <cols>
    <col min="1" max="1" width="23.85546875" bestFit="1" customWidth="1"/>
  </cols>
  <sheetData>
    <row r="1" spans="1:33" x14ac:dyDescent="0.2">
      <c r="A1" s="1" t="s">
        <v>69</v>
      </c>
    </row>
    <row r="2" spans="1:33" ht="13.5" x14ac:dyDescent="0.25">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row>
    <row r="4" spans="1:33" x14ac:dyDescent="0.2">
      <c r="A4" s="1" t="s">
        <v>69</v>
      </c>
    </row>
    <row r="5" spans="1:33" x14ac:dyDescent="0.2">
      <c r="A5" s="1" t="s">
        <v>69</v>
      </c>
    </row>
    <row r="6" spans="1:33" ht="13.5" x14ac:dyDescent="0.25">
      <c r="A6" s="2" t="s">
        <v>31</v>
      </c>
    </row>
    <row r="7" spans="1:33" ht="13.5" x14ac:dyDescent="0.25">
      <c r="A7" s="2" t="s">
        <v>32</v>
      </c>
    </row>
    <row r="8" spans="1:33" ht="13.5" x14ac:dyDescent="0.25">
      <c r="A8" s="2" t="s">
        <v>39</v>
      </c>
    </row>
    <row r="9" spans="1:33" ht="13.5" x14ac:dyDescent="0.25">
      <c r="A9" s="2" t="s">
        <v>40</v>
      </c>
    </row>
    <row r="10" spans="1:33" ht="13.5" x14ac:dyDescent="0.25">
      <c r="A10" s="2" t="s">
        <v>41</v>
      </c>
    </row>
    <row r="11" spans="1:33" ht="13.5" x14ac:dyDescent="0.25">
      <c r="A11" s="2" t="s">
        <v>37</v>
      </c>
    </row>
    <row r="12" spans="1:33" ht="13.5" x14ac:dyDescent="0.25">
      <c r="A12" s="2" t="s">
        <v>56</v>
      </c>
    </row>
    <row r="13" spans="1:33" ht="13.5" x14ac:dyDescent="0.25">
      <c r="A13" s="2" t="s">
        <v>42</v>
      </c>
    </row>
    <row r="14" spans="1:33" ht="13.5" x14ac:dyDescent="0.25">
      <c r="A14" s="2" t="s">
        <v>57</v>
      </c>
    </row>
    <row r="15" spans="1:33" ht="13.5" x14ac:dyDescent="0.25">
      <c r="A15" s="2" t="s">
        <v>43</v>
      </c>
    </row>
    <row r="16" spans="1:33" ht="13.5" x14ac:dyDescent="0.25">
      <c r="A16" s="2" t="s">
        <v>44</v>
      </c>
    </row>
    <row r="17" spans="1:1" ht="13.5" x14ac:dyDescent="0.25">
      <c r="A17" s="2" t="s">
        <v>58</v>
      </c>
    </row>
    <row r="18" spans="1:1" ht="13.5" x14ac:dyDescent="0.25">
      <c r="A18" s="2" t="s">
        <v>59</v>
      </c>
    </row>
    <row r="19" spans="1:1" ht="13.5" x14ac:dyDescent="0.25">
      <c r="A19" s="2" t="s">
        <v>45</v>
      </c>
    </row>
    <row r="20" spans="1:1" ht="13.5" x14ac:dyDescent="0.25">
      <c r="A20" s="2" t="s">
        <v>38</v>
      </c>
    </row>
    <row r="21" spans="1:1" ht="13.5" x14ac:dyDescent="0.25">
      <c r="A21" s="2" t="s">
        <v>46</v>
      </c>
    </row>
    <row r="22" spans="1:1" ht="13.5" x14ac:dyDescent="0.25">
      <c r="A22" s="2" t="s">
        <v>47</v>
      </c>
    </row>
    <row r="23" spans="1:1" ht="13.5" x14ac:dyDescent="0.25">
      <c r="A23" s="2" t="s">
        <v>48</v>
      </c>
    </row>
    <row r="24" spans="1:1" ht="13.5" x14ac:dyDescent="0.25">
      <c r="A24" s="2" t="s">
        <v>49</v>
      </c>
    </row>
    <row r="25" spans="1:1" ht="13.5" x14ac:dyDescent="0.25">
      <c r="A25" s="2" t="s">
        <v>50</v>
      </c>
    </row>
    <row r="26" spans="1:1" ht="13.5" x14ac:dyDescent="0.25">
      <c r="A26" s="2" t="s">
        <v>60</v>
      </c>
    </row>
    <row r="27" spans="1:1" ht="13.5" x14ac:dyDescent="0.25">
      <c r="A27" s="2" t="s">
        <v>61</v>
      </c>
    </row>
    <row r="28" spans="1:1" ht="13.5" x14ac:dyDescent="0.25">
      <c r="A28" s="2" t="s">
        <v>51</v>
      </c>
    </row>
    <row r="29" spans="1:1" ht="13.5" x14ac:dyDescent="0.25">
      <c r="A29" s="2" t="s">
        <v>62</v>
      </c>
    </row>
    <row r="30" spans="1:1" ht="13.5" x14ac:dyDescent="0.25">
      <c r="A30" s="2" t="s">
        <v>33</v>
      </c>
    </row>
    <row r="31" spans="1:1" ht="13.5" x14ac:dyDescent="0.25">
      <c r="A31" s="2" t="s">
        <v>52</v>
      </c>
    </row>
    <row r="32" spans="1:1" ht="13.5" x14ac:dyDescent="0.25">
      <c r="A32" s="2" t="s">
        <v>35</v>
      </c>
    </row>
    <row r="33" spans="1:1" ht="13.5" x14ac:dyDescent="0.25">
      <c r="A33" s="2" t="s">
        <v>36</v>
      </c>
    </row>
    <row r="34" spans="1:1" ht="13.5" x14ac:dyDescent="0.25">
      <c r="A34" s="2" t="s">
        <v>34</v>
      </c>
    </row>
    <row r="35" spans="1:1" ht="13.5" x14ac:dyDescent="0.25">
      <c r="A35" s="2" t="s">
        <v>53</v>
      </c>
    </row>
    <row r="36" spans="1:1" ht="13.5" x14ac:dyDescent="0.25">
      <c r="A36" s="2" t="s">
        <v>54</v>
      </c>
    </row>
    <row r="37" spans="1:1" ht="13.5" x14ac:dyDescent="0.25">
      <c r="A37" s="2" t="s">
        <v>55</v>
      </c>
    </row>
  </sheetData>
  <sortState ref="A1:A33">
    <sortCondition ref="A1"/>
  </sortState>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5"/>
  <sheetViews>
    <sheetView view="pageLayout" zoomScaleNormal="130" workbookViewId="0">
      <selection activeCell="H17" sqref="H17"/>
    </sheetView>
  </sheetViews>
  <sheetFormatPr defaultRowHeight="12" x14ac:dyDescent="0.2"/>
  <cols>
    <col min="1" max="1" width="29.7109375" style="63" customWidth="1"/>
    <col min="2" max="2" width="19.7109375" style="64" bestFit="1" customWidth="1"/>
    <col min="3" max="8" width="14.28515625" style="63" bestFit="1" customWidth="1"/>
    <col min="9" max="9" width="5.5703125" style="63" customWidth="1"/>
    <col min="10" max="16384" width="9.140625" style="63"/>
  </cols>
  <sheetData>
    <row r="1" spans="1:8" s="46" customFormat="1" ht="15" customHeight="1" x14ac:dyDescent="0.2">
      <c r="A1" s="44" t="s">
        <v>63</v>
      </c>
      <c r="B1" s="45"/>
    </row>
    <row r="2" spans="1:8" s="46" customFormat="1" ht="15" customHeight="1" x14ac:dyDescent="0.2">
      <c r="A2" s="44" t="s">
        <v>64</v>
      </c>
      <c r="B2" s="45"/>
      <c r="E2" s="47"/>
    </row>
    <row r="3" spans="1:8" s="46" customFormat="1" ht="12" customHeight="1" x14ac:dyDescent="0.2">
      <c r="A3" s="91" t="s">
        <v>65</v>
      </c>
      <c r="B3" s="48"/>
      <c r="C3" s="49"/>
      <c r="E3" s="91">
        <v>0.02</v>
      </c>
      <c r="F3" s="91">
        <v>2.5000000000000001E-2</v>
      </c>
      <c r="G3" s="91">
        <v>2.5000000000000001E-2</v>
      </c>
      <c r="H3" s="91">
        <v>2.5000000000000001E-2</v>
      </c>
    </row>
    <row r="4" spans="1:8" s="46" customFormat="1" ht="15" customHeight="1" x14ac:dyDescent="0.2">
      <c r="B4" s="50"/>
    </row>
    <row r="5" spans="1:8" s="46" customFormat="1" ht="28.5" x14ac:dyDescent="0.2">
      <c r="A5" s="51" t="s">
        <v>79</v>
      </c>
      <c r="B5" s="67" t="s">
        <v>130</v>
      </c>
      <c r="C5" s="52" t="s">
        <v>80</v>
      </c>
      <c r="D5" s="53" t="s">
        <v>81</v>
      </c>
      <c r="E5" s="52" t="s">
        <v>82</v>
      </c>
      <c r="F5" s="52" t="s">
        <v>83</v>
      </c>
      <c r="G5" s="52" t="s">
        <v>84</v>
      </c>
      <c r="H5" s="52" t="s">
        <v>85</v>
      </c>
    </row>
    <row r="6" spans="1:8" s="46" customFormat="1" ht="14.25" x14ac:dyDescent="0.2">
      <c r="A6" s="54" t="s">
        <v>66</v>
      </c>
      <c r="B6" s="55"/>
    </row>
    <row r="7" spans="1:8" s="46" customFormat="1" ht="14.25" x14ac:dyDescent="0.2">
      <c r="A7" s="56" t="s">
        <v>31</v>
      </c>
      <c r="B7" s="68">
        <v>1768949</v>
      </c>
      <c r="C7" s="68">
        <v>564000</v>
      </c>
      <c r="D7" s="68">
        <v>586000</v>
      </c>
      <c r="E7" s="68">
        <v>598000</v>
      </c>
      <c r="F7" s="68">
        <v>613000</v>
      </c>
      <c r="G7" s="68">
        <v>628000</v>
      </c>
      <c r="H7" s="68">
        <v>644000</v>
      </c>
    </row>
    <row r="8" spans="1:8" s="46" customFormat="1" ht="14.25" x14ac:dyDescent="0.2">
      <c r="A8" s="56" t="s">
        <v>32</v>
      </c>
      <c r="B8" s="59">
        <v>0</v>
      </c>
      <c r="C8" s="60">
        <v>590000</v>
      </c>
      <c r="D8" s="60">
        <v>921000</v>
      </c>
      <c r="E8" s="60">
        <v>939000</v>
      </c>
      <c r="F8" s="60">
        <v>962000</v>
      </c>
      <c r="G8" s="60">
        <v>986000</v>
      </c>
      <c r="H8" s="60">
        <v>36831</v>
      </c>
    </row>
    <row r="9" spans="1:8" s="46" customFormat="1" ht="14.25" x14ac:dyDescent="0.2">
      <c r="A9" s="56" t="s">
        <v>40</v>
      </c>
      <c r="B9" s="59">
        <v>566862</v>
      </c>
      <c r="C9" s="60">
        <v>158000</v>
      </c>
      <c r="D9" s="60">
        <v>167000</v>
      </c>
      <c r="E9" s="60">
        <v>170000</v>
      </c>
      <c r="F9" s="60">
        <v>174000</v>
      </c>
      <c r="G9" s="60">
        <v>178000</v>
      </c>
      <c r="H9" s="60">
        <v>182000</v>
      </c>
    </row>
    <row r="10" spans="1:8" s="46" customFormat="1" ht="14.25" x14ac:dyDescent="0.2">
      <c r="A10" s="56" t="s">
        <v>41</v>
      </c>
      <c r="B10" s="59">
        <v>324917</v>
      </c>
      <c r="C10" s="60">
        <v>177000</v>
      </c>
      <c r="D10" s="60">
        <v>185000</v>
      </c>
      <c r="E10" s="60">
        <v>189000</v>
      </c>
      <c r="F10" s="60">
        <v>194000</v>
      </c>
      <c r="G10" s="60">
        <v>199000</v>
      </c>
      <c r="H10" s="60">
        <v>204000</v>
      </c>
    </row>
    <row r="11" spans="1:8" s="46" customFormat="1" ht="14.25" x14ac:dyDescent="0.2">
      <c r="A11" s="56" t="s">
        <v>42</v>
      </c>
      <c r="B11" s="59">
        <v>10882442</v>
      </c>
      <c r="C11" s="60">
        <v>4036000</v>
      </c>
      <c r="D11" s="60">
        <v>4143000</v>
      </c>
      <c r="E11" s="60">
        <v>4226000</v>
      </c>
      <c r="F11" s="60">
        <v>4332000</v>
      </c>
      <c r="G11" s="60">
        <v>4440000</v>
      </c>
      <c r="H11" s="60">
        <v>4551000</v>
      </c>
    </row>
    <row r="12" spans="1:8" s="46" customFormat="1" ht="14.25" x14ac:dyDescent="0.2">
      <c r="A12" s="56" t="s">
        <v>43</v>
      </c>
      <c r="B12" s="59">
        <v>4677775</v>
      </c>
      <c r="C12" s="60">
        <v>1282000</v>
      </c>
      <c r="D12" s="60">
        <v>1317000</v>
      </c>
      <c r="E12" s="60">
        <v>1343000</v>
      </c>
      <c r="F12" s="60">
        <v>1377000</v>
      </c>
      <c r="G12" s="60">
        <v>1411000</v>
      </c>
      <c r="H12" s="60">
        <v>1446000</v>
      </c>
    </row>
    <row r="13" spans="1:8" s="46" customFormat="1" ht="14.25" x14ac:dyDescent="0.2">
      <c r="A13" s="56" t="s">
        <v>44</v>
      </c>
      <c r="B13" s="59">
        <v>5336943</v>
      </c>
      <c r="C13" s="60">
        <v>1692000</v>
      </c>
      <c r="D13" s="60">
        <v>1767000</v>
      </c>
      <c r="E13" s="60">
        <v>1802000</v>
      </c>
      <c r="F13" s="60">
        <v>1847000</v>
      </c>
      <c r="G13" s="60">
        <v>1893000</v>
      </c>
      <c r="H13" s="60">
        <v>1940000</v>
      </c>
    </row>
    <row r="14" spans="1:8" s="46" customFormat="1" ht="14.25" x14ac:dyDescent="0.2">
      <c r="A14" s="56" t="s">
        <v>45</v>
      </c>
      <c r="B14" s="90">
        <v>-120363</v>
      </c>
      <c r="C14" s="60">
        <v>1937000</v>
      </c>
      <c r="D14" s="60">
        <v>36571</v>
      </c>
      <c r="E14" s="60">
        <v>2055000</v>
      </c>
      <c r="F14" s="60">
        <v>2106000</v>
      </c>
      <c r="G14" s="60">
        <v>2159000</v>
      </c>
      <c r="H14" s="60">
        <v>2213000</v>
      </c>
    </row>
    <row r="15" spans="1:8" s="46" customFormat="1" ht="14.25" x14ac:dyDescent="0.2">
      <c r="A15" s="56" t="s">
        <v>46</v>
      </c>
      <c r="B15" s="59">
        <v>1545370</v>
      </c>
      <c r="C15" s="60">
        <v>1308000</v>
      </c>
      <c r="D15" s="60">
        <v>1354000</v>
      </c>
      <c r="E15" s="60">
        <v>1381000</v>
      </c>
      <c r="F15" s="60">
        <v>1416000</v>
      </c>
      <c r="G15" s="60">
        <v>1451000</v>
      </c>
      <c r="H15" s="60">
        <v>1487000</v>
      </c>
    </row>
    <row r="16" spans="1:8" s="46" customFormat="1" ht="14.25" x14ac:dyDescent="0.2">
      <c r="A16" s="56" t="s">
        <v>47</v>
      </c>
      <c r="B16" s="59">
        <v>2791713</v>
      </c>
      <c r="C16" s="60">
        <v>1660000</v>
      </c>
      <c r="D16" s="60">
        <v>1731000</v>
      </c>
      <c r="E16" s="60">
        <v>1766000</v>
      </c>
      <c r="F16" s="60">
        <v>1810000</v>
      </c>
      <c r="G16" s="60">
        <v>1855000</v>
      </c>
      <c r="H16" s="60">
        <v>1901000</v>
      </c>
    </row>
    <row r="17" spans="1:8" s="46" customFormat="1" ht="14.25" x14ac:dyDescent="0.2">
      <c r="A17" s="56" t="s">
        <v>48</v>
      </c>
      <c r="B17" s="59">
        <v>5135340</v>
      </c>
      <c r="C17" s="60">
        <v>3912000</v>
      </c>
      <c r="D17" s="60">
        <v>4025000</v>
      </c>
      <c r="E17" s="60">
        <v>4106000</v>
      </c>
      <c r="F17" s="60">
        <v>4209000</v>
      </c>
      <c r="G17" s="60">
        <v>4314000</v>
      </c>
      <c r="H17" s="60">
        <v>4422000</v>
      </c>
    </row>
    <row r="18" spans="1:8" s="46" customFormat="1" ht="14.25" x14ac:dyDescent="0.2">
      <c r="A18" s="56" t="s">
        <v>49</v>
      </c>
      <c r="B18" s="59">
        <v>7150588</v>
      </c>
      <c r="C18" s="60">
        <v>2349000</v>
      </c>
      <c r="D18" s="60">
        <v>2431000</v>
      </c>
      <c r="E18" s="60">
        <v>2480000</v>
      </c>
      <c r="F18" s="60">
        <v>2542000</v>
      </c>
      <c r="G18" s="60">
        <v>2606000</v>
      </c>
      <c r="H18" s="60">
        <v>2671000</v>
      </c>
    </row>
    <row r="19" spans="1:8" s="46" customFormat="1" ht="14.25" x14ac:dyDescent="0.2">
      <c r="A19" s="56" t="s">
        <v>50</v>
      </c>
      <c r="B19" s="59">
        <v>2060218</v>
      </c>
      <c r="C19" s="60">
        <v>657000</v>
      </c>
      <c r="D19" s="60">
        <v>679000</v>
      </c>
      <c r="E19" s="60">
        <v>693000</v>
      </c>
      <c r="F19" s="60">
        <v>710000</v>
      </c>
      <c r="G19" s="60">
        <v>728000</v>
      </c>
      <c r="H19" s="60">
        <v>746000</v>
      </c>
    </row>
    <row r="20" spans="1:8" s="46" customFormat="1" ht="14.25" x14ac:dyDescent="0.2">
      <c r="A20" s="56" t="s">
        <v>51</v>
      </c>
      <c r="B20" s="59">
        <v>4928089</v>
      </c>
      <c r="C20" s="60">
        <v>1508000</v>
      </c>
      <c r="D20" s="60">
        <v>1630000</v>
      </c>
      <c r="E20" s="60">
        <v>1663000</v>
      </c>
      <c r="F20" s="60">
        <v>1705000</v>
      </c>
      <c r="G20" s="60">
        <v>1748000</v>
      </c>
      <c r="H20" s="60">
        <v>1792000</v>
      </c>
    </row>
    <row r="21" spans="1:8" s="46" customFormat="1" ht="14.25" x14ac:dyDescent="0.2">
      <c r="A21" s="56" t="s">
        <v>52</v>
      </c>
      <c r="B21" s="59">
        <v>17852987</v>
      </c>
      <c r="C21" s="60">
        <v>7438000</v>
      </c>
      <c r="D21" s="60">
        <v>7663000</v>
      </c>
      <c r="E21" s="60">
        <v>7816000</v>
      </c>
      <c r="F21" s="60">
        <v>36838</v>
      </c>
      <c r="G21" s="60">
        <v>8211000</v>
      </c>
      <c r="H21" s="60">
        <v>8416000</v>
      </c>
    </row>
    <row r="22" spans="1:8" s="46" customFormat="1" ht="14.25" x14ac:dyDescent="0.2">
      <c r="A22" s="56" t="s">
        <v>53</v>
      </c>
      <c r="B22" s="59">
        <v>3235105</v>
      </c>
      <c r="C22" s="60">
        <v>854000</v>
      </c>
      <c r="D22" s="60">
        <v>879000</v>
      </c>
      <c r="E22" s="60">
        <v>897000</v>
      </c>
      <c r="F22" s="60">
        <v>919000</v>
      </c>
      <c r="G22" s="60">
        <v>942000</v>
      </c>
      <c r="H22" s="60">
        <v>966000</v>
      </c>
    </row>
    <row r="23" spans="1:8" s="46" customFormat="1" ht="14.25" x14ac:dyDescent="0.2">
      <c r="A23" s="56" t="s">
        <v>54</v>
      </c>
      <c r="B23" s="59">
        <v>6251531</v>
      </c>
      <c r="C23" s="60">
        <v>2993000</v>
      </c>
      <c r="D23" s="60">
        <v>3184000</v>
      </c>
      <c r="E23" s="60">
        <v>3248000</v>
      </c>
      <c r="F23" s="60">
        <v>3329000</v>
      </c>
      <c r="G23" s="60">
        <v>3412000</v>
      </c>
      <c r="H23" s="60">
        <v>3497000</v>
      </c>
    </row>
    <row r="24" spans="1:8" s="46" customFormat="1" ht="14.25" x14ac:dyDescent="0.2">
      <c r="A24" s="56" t="s">
        <v>55</v>
      </c>
      <c r="B24" s="59">
        <v>275786</v>
      </c>
      <c r="C24" s="60">
        <v>617000</v>
      </c>
      <c r="D24" s="60">
        <v>641000</v>
      </c>
      <c r="E24" s="60">
        <v>654000</v>
      </c>
      <c r="F24" s="60">
        <v>670000</v>
      </c>
      <c r="G24" s="60">
        <v>687000</v>
      </c>
      <c r="H24" s="60">
        <v>704000</v>
      </c>
    </row>
    <row r="25" spans="1:8" s="46" customFormat="1" ht="28.5" x14ac:dyDescent="0.2">
      <c r="A25" s="56" t="s">
        <v>34</v>
      </c>
      <c r="B25" s="59">
        <v>435510</v>
      </c>
      <c r="C25" s="60">
        <v>5327000</v>
      </c>
      <c r="D25" s="60">
        <v>5523000</v>
      </c>
      <c r="E25" s="60">
        <v>5633000</v>
      </c>
      <c r="F25" s="60">
        <v>5774000</v>
      </c>
      <c r="G25" s="60">
        <v>5918000</v>
      </c>
      <c r="H25" s="60">
        <v>6066000</v>
      </c>
    </row>
    <row r="26" spans="1:8" s="46" customFormat="1" ht="14.25" x14ac:dyDescent="0.2">
      <c r="A26" s="56" t="s">
        <v>129</v>
      </c>
      <c r="B26" s="59"/>
      <c r="C26" s="60">
        <v>295000</v>
      </c>
      <c r="D26" s="60" t="s">
        <v>86</v>
      </c>
      <c r="E26" s="60" t="s">
        <v>86</v>
      </c>
      <c r="F26" s="60" t="s">
        <v>86</v>
      </c>
      <c r="G26" s="60" t="s">
        <v>86</v>
      </c>
      <c r="H26" s="60" t="s">
        <v>86</v>
      </c>
    </row>
    <row r="27" spans="1:8" s="46" customFormat="1" ht="14.25" x14ac:dyDescent="0.2">
      <c r="A27" s="56" t="s">
        <v>69</v>
      </c>
      <c r="B27" s="59"/>
      <c r="C27" s="69"/>
      <c r="D27" s="60"/>
      <c r="E27" s="60"/>
      <c r="F27" s="60"/>
      <c r="G27" s="60"/>
      <c r="H27" s="60"/>
    </row>
    <row r="28" spans="1:8" s="46" customFormat="1" ht="14.25" x14ac:dyDescent="0.2">
      <c r="A28" s="85" t="s">
        <v>67</v>
      </c>
      <c r="B28" s="84"/>
      <c r="C28" s="84">
        <v>39354000</v>
      </c>
      <c r="D28" s="84">
        <v>40841000</v>
      </c>
      <c r="E28" s="84">
        <v>41659000</v>
      </c>
      <c r="F28" s="84">
        <v>42700000</v>
      </c>
      <c r="G28" s="84">
        <v>43766000</v>
      </c>
      <c r="H28" s="84">
        <v>44859000</v>
      </c>
    </row>
    <row r="29" spans="1:8" s="46" customFormat="1" ht="14.25" x14ac:dyDescent="0.2">
      <c r="A29" s="57"/>
      <c r="B29" s="70"/>
      <c r="C29" s="71"/>
      <c r="D29" s="71"/>
      <c r="E29" s="71"/>
      <c r="F29" s="71"/>
      <c r="G29" s="71"/>
      <c r="H29" s="71"/>
    </row>
    <row r="30" spans="1:8" s="46" customFormat="1" ht="14.25" x14ac:dyDescent="0.2">
      <c r="A30" s="51" t="s">
        <v>87</v>
      </c>
      <c r="B30" s="72"/>
      <c r="C30" s="73"/>
      <c r="D30" s="73"/>
      <c r="E30" s="73"/>
      <c r="F30" s="73"/>
      <c r="G30" s="73"/>
      <c r="H30" s="73"/>
    </row>
    <row r="31" spans="1:8" s="46" customFormat="1" ht="14.25" x14ac:dyDescent="0.2">
      <c r="A31" s="58" t="s">
        <v>37</v>
      </c>
      <c r="B31" s="74">
        <v>446496</v>
      </c>
      <c r="C31" s="74">
        <v>1493000</v>
      </c>
      <c r="D31" s="74">
        <v>1490000</v>
      </c>
      <c r="E31" s="74">
        <v>1520000</v>
      </c>
      <c r="F31" s="74">
        <v>1558000</v>
      </c>
      <c r="G31" s="74">
        <v>1597000</v>
      </c>
      <c r="H31" s="74">
        <v>1637000</v>
      </c>
    </row>
    <row r="32" spans="1:8" s="46" customFormat="1" ht="14.25" x14ac:dyDescent="0.2">
      <c r="A32" s="58" t="s">
        <v>88</v>
      </c>
      <c r="B32" s="59">
        <v>1263691</v>
      </c>
      <c r="C32" s="60">
        <v>615000</v>
      </c>
      <c r="D32" s="60">
        <v>608000</v>
      </c>
      <c r="E32" s="60">
        <v>620000</v>
      </c>
      <c r="F32" s="60">
        <v>636000</v>
      </c>
      <c r="G32" s="60">
        <v>652000</v>
      </c>
      <c r="H32" s="60">
        <v>668000</v>
      </c>
    </row>
    <row r="33" spans="1:8" s="46" customFormat="1" ht="14.25" x14ac:dyDescent="0.2">
      <c r="A33" s="58" t="s">
        <v>89</v>
      </c>
      <c r="B33" s="59">
        <v>45572</v>
      </c>
      <c r="C33" s="60">
        <v>476000</v>
      </c>
      <c r="D33" s="60">
        <v>477000</v>
      </c>
      <c r="E33" s="60">
        <v>487000</v>
      </c>
      <c r="F33" s="60">
        <v>499000</v>
      </c>
      <c r="G33" s="60">
        <v>511000</v>
      </c>
      <c r="H33" s="60">
        <v>524000</v>
      </c>
    </row>
    <row r="34" spans="1:8" s="46" customFormat="1" ht="14.25" x14ac:dyDescent="0.2">
      <c r="A34" s="58" t="s">
        <v>90</v>
      </c>
      <c r="B34" s="59">
        <v>20520</v>
      </c>
      <c r="C34" s="60">
        <v>237000</v>
      </c>
      <c r="D34" s="60">
        <v>266000</v>
      </c>
      <c r="E34" s="60">
        <v>271000</v>
      </c>
      <c r="F34" s="60">
        <v>278000</v>
      </c>
      <c r="G34" s="60">
        <v>285000</v>
      </c>
      <c r="H34" s="60">
        <v>292000</v>
      </c>
    </row>
    <row r="35" spans="1:8" s="46" customFormat="1" ht="14.25" x14ac:dyDescent="0.2">
      <c r="A35" s="58" t="s">
        <v>91</v>
      </c>
      <c r="B35" s="59">
        <v>725555</v>
      </c>
      <c r="C35" s="60">
        <v>1907000</v>
      </c>
      <c r="D35" s="60">
        <v>1957000</v>
      </c>
      <c r="E35" s="60">
        <v>1996000</v>
      </c>
      <c r="F35" s="60">
        <v>2046000</v>
      </c>
      <c r="G35" s="60">
        <v>2097000</v>
      </c>
      <c r="H35" s="60">
        <v>2149000</v>
      </c>
    </row>
    <row r="36" spans="1:8" s="46" customFormat="1" ht="14.25" x14ac:dyDescent="0.2">
      <c r="A36" s="56" t="s">
        <v>38</v>
      </c>
      <c r="B36" s="59">
        <v>854791</v>
      </c>
      <c r="C36" s="60">
        <v>1481000</v>
      </c>
      <c r="D36" s="60">
        <v>1525000</v>
      </c>
      <c r="E36" s="60">
        <v>1556000</v>
      </c>
      <c r="F36" s="60">
        <v>1595000</v>
      </c>
      <c r="G36" s="60">
        <v>1635000</v>
      </c>
      <c r="H36" s="60">
        <v>1676000</v>
      </c>
    </row>
    <row r="37" spans="1:8" s="46" customFormat="1" ht="14.25" x14ac:dyDescent="0.2">
      <c r="A37" s="58" t="s">
        <v>92</v>
      </c>
      <c r="B37" s="59">
        <v>21545267</v>
      </c>
      <c r="C37" s="60">
        <v>2718000</v>
      </c>
      <c r="D37" s="60">
        <v>2798000</v>
      </c>
      <c r="E37" s="60">
        <v>2854000</v>
      </c>
      <c r="F37" s="60">
        <v>2925000</v>
      </c>
      <c r="G37" s="60">
        <v>2998000</v>
      </c>
      <c r="H37" s="60">
        <v>3073000</v>
      </c>
    </row>
    <row r="38" spans="1:8" s="46" customFormat="1" ht="14.25" x14ac:dyDescent="0.2">
      <c r="A38" s="58" t="s">
        <v>93</v>
      </c>
      <c r="B38" s="59">
        <v>7369067</v>
      </c>
      <c r="C38" s="60">
        <v>2051000</v>
      </c>
      <c r="D38" s="60">
        <v>2118000</v>
      </c>
      <c r="E38" s="60">
        <v>2160000</v>
      </c>
      <c r="F38" s="60">
        <v>2214000</v>
      </c>
      <c r="G38" s="60">
        <v>2269000</v>
      </c>
      <c r="H38" s="60">
        <v>2326000</v>
      </c>
    </row>
    <row r="39" spans="1:8" s="46" customFormat="1" ht="14.25" x14ac:dyDescent="0.2">
      <c r="A39" s="58" t="s">
        <v>94</v>
      </c>
      <c r="B39" s="59">
        <v>3349388</v>
      </c>
      <c r="C39" s="60">
        <v>893000</v>
      </c>
      <c r="D39" s="60">
        <v>924000</v>
      </c>
      <c r="E39" s="60">
        <v>942000</v>
      </c>
      <c r="F39" s="60">
        <v>966000</v>
      </c>
      <c r="G39" s="60">
        <v>990000</v>
      </c>
      <c r="H39" s="60">
        <v>36540</v>
      </c>
    </row>
    <row r="40" spans="1:8" s="46" customFormat="1" ht="14.25" x14ac:dyDescent="0.2">
      <c r="A40" s="56" t="s">
        <v>35</v>
      </c>
      <c r="B40" s="59">
        <v>918044</v>
      </c>
      <c r="C40" s="60">
        <v>1780000</v>
      </c>
      <c r="D40" s="60">
        <v>1771000</v>
      </c>
      <c r="E40" s="60">
        <v>1806000</v>
      </c>
      <c r="F40" s="60">
        <v>1851000</v>
      </c>
      <c r="G40" s="60">
        <v>1897000</v>
      </c>
      <c r="H40" s="60">
        <v>1944000</v>
      </c>
    </row>
    <row r="41" spans="1:8" s="46" customFormat="1" ht="14.25" x14ac:dyDescent="0.2">
      <c r="A41" s="56" t="s">
        <v>128</v>
      </c>
      <c r="B41" s="67"/>
      <c r="C41" s="61" t="s">
        <v>86</v>
      </c>
      <c r="D41" s="61" t="s">
        <v>86</v>
      </c>
      <c r="E41" s="61" t="s">
        <v>86</v>
      </c>
      <c r="F41" s="61" t="s">
        <v>86</v>
      </c>
      <c r="G41" s="61" t="s">
        <v>86</v>
      </c>
      <c r="H41" s="61" t="s">
        <v>86</v>
      </c>
    </row>
    <row r="42" spans="1:8" s="46" customFormat="1" ht="14.25" x14ac:dyDescent="0.2">
      <c r="A42" s="80" t="s">
        <v>100</v>
      </c>
      <c r="B42" s="84"/>
      <c r="C42" s="84">
        <v>13651000</v>
      </c>
      <c r="D42" s="84">
        <v>13934000</v>
      </c>
      <c r="E42" s="84">
        <v>14212000</v>
      </c>
      <c r="F42" s="84">
        <v>14568000</v>
      </c>
      <c r="G42" s="84">
        <v>14931000</v>
      </c>
      <c r="H42" s="84">
        <v>15304000</v>
      </c>
    </row>
    <row r="43" spans="1:8" s="46" customFormat="1" ht="9" customHeight="1" x14ac:dyDescent="0.2">
      <c r="A43" s="51"/>
      <c r="B43" s="75"/>
      <c r="C43" s="71"/>
      <c r="D43" s="71"/>
      <c r="E43" s="71"/>
      <c r="F43" s="71"/>
      <c r="G43" s="71"/>
      <c r="H43" s="71"/>
    </row>
    <row r="44" spans="1:8" s="46" customFormat="1" ht="14.25" x14ac:dyDescent="0.2">
      <c r="A44" s="51" t="s">
        <v>68</v>
      </c>
      <c r="B44" s="75"/>
      <c r="C44" s="73"/>
      <c r="D44" s="73"/>
      <c r="E44" s="73"/>
      <c r="F44" s="73"/>
      <c r="G44" s="73"/>
      <c r="H44" s="73"/>
    </row>
    <row r="45" spans="1:8" s="46" customFormat="1" ht="14.25" x14ac:dyDescent="0.2">
      <c r="A45" s="58" t="s">
        <v>39</v>
      </c>
      <c r="B45" s="74">
        <v>2332281</v>
      </c>
      <c r="C45" s="74">
        <v>844000</v>
      </c>
      <c r="D45" s="74">
        <v>779000</v>
      </c>
      <c r="E45" s="74">
        <v>795000</v>
      </c>
      <c r="F45" s="74">
        <v>815000</v>
      </c>
      <c r="G45" s="74">
        <v>835000</v>
      </c>
      <c r="H45" s="74">
        <v>856000</v>
      </c>
    </row>
    <row r="46" spans="1:8" s="46" customFormat="1" ht="12" customHeight="1" x14ac:dyDescent="0.2">
      <c r="A46" s="56" t="s">
        <v>36</v>
      </c>
      <c r="B46" s="76">
        <v>381889</v>
      </c>
      <c r="C46" s="69">
        <v>193000</v>
      </c>
      <c r="D46" s="69">
        <v>189000</v>
      </c>
      <c r="E46" s="69">
        <v>193000</v>
      </c>
      <c r="F46" s="69">
        <v>198000</v>
      </c>
      <c r="G46" s="69">
        <v>203000</v>
      </c>
      <c r="H46" s="69">
        <v>208000</v>
      </c>
    </row>
    <row r="47" spans="1:8" s="46" customFormat="1" ht="14.25" x14ac:dyDescent="0.2">
      <c r="A47" s="80" t="s">
        <v>99</v>
      </c>
      <c r="B47" s="81"/>
      <c r="C47" s="82">
        <v>1037000</v>
      </c>
      <c r="D47" s="82">
        <v>968000</v>
      </c>
      <c r="E47" s="82">
        <v>988000</v>
      </c>
      <c r="F47" s="83">
        <v>36538</v>
      </c>
      <c r="G47" s="82">
        <v>1038000</v>
      </c>
      <c r="H47" s="82">
        <v>1064000</v>
      </c>
    </row>
    <row r="48" spans="1:8" s="46" customFormat="1" ht="14.25" x14ac:dyDescent="0.2">
      <c r="A48" s="80"/>
      <c r="B48" s="86"/>
      <c r="C48" s="87"/>
      <c r="D48" s="87"/>
      <c r="E48" s="87"/>
      <c r="F48" s="88"/>
      <c r="G48" s="87"/>
      <c r="H48" s="87"/>
    </row>
    <row r="49" spans="1:9" s="62" customFormat="1" ht="15" thickBot="1" x14ac:dyDescent="0.35">
      <c r="A49" s="77" t="s">
        <v>98</v>
      </c>
      <c r="B49" s="78"/>
      <c r="C49" s="79">
        <v>54042000</v>
      </c>
      <c r="D49" s="79">
        <v>55743000</v>
      </c>
      <c r="E49" s="79">
        <v>56859000</v>
      </c>
      <c r="F49" s="79">
        <v>58281000</v>
      </c>
      <c r="G49" s="79">
        <v>59735000</v>
      </c>
      <c r="H49" s="79">
        <v>61227000</v>
      </c>
    </row>
    <row r="50" spans="1:9" ht="13.5" customHeight="1" thickTop="1" x14ac:dyDescent="0.2"/>
    <row r="51" spans="1:9" ht="28.5" customHeight="1" x14ac:dyDescent="0.2">
      <c r="A51" s="164" t="s">
        <v>95</v>
      </c>
      <c r="B51" s="164"/>
      <c r="C51" s="164"/>
      <c r="D51" s="164"/>
      <c r="E51" s="164"/>
      <c r="F51" s="164"/>
      <c r="G51" s="164"/>
      <c r="H51" s="164"/>
      <c r="I51" s="65"/>
    </row>
    <row r="52" spans="1:9" ht="28.5" customHeight="1" x14ac:dyDescent="0.2">
      <c r="A52" s="164" t="s">
        <v>96</v>
      </c>
      <c r="B52" s="164"/>
      <c r="C52" s="164"/>
      <c r="D52" s="164"/>
      <c r="E52" s="164"/>
      <c r="F52" s="164"/>
      <c r="G52" s="164"/>
      <c r="H52" s="164"/>
      <c r="I52" s="66"/>
    </row>
    <row r="53" spans="1:9" ht="14.25" x14ac:dyDescent="0.2">
      <c r="A53" s="94" t="s">
        <v>131</v>
      </c>
      <c r="B53" s="89"/>
      <c r="C53" s="89"/>
      <c r="D53" s="89"/>
      <c r="E53" s="89"/>
      <c r="F53" s="89"/>
      <c r="G53" s="89"/>
      <c r="H53" s="89"/>
      <c r="I53" s="66"/>
    </row>
    <row r="54" spans="1:9" ht="13.5" x14ac:dyDescent="0.2">
      <c r="A54" s="94"/>
      <c r="B54" s="89"/>
      <c r="C54" s="89"/>
      <c r="D54" s="89"/>
      <c r="E54" s="89"/>
      <c r="F54" s="89"/>
      <c r="G54" s="89"/>
      <c r="H54" s="89"/>
      <c r="I54" s="66"/>
    </row>
    <row r="55" spans="1:9" ht="15" customHeight="1" x14ac:dyDescent="0.2">
      <c r="A55" s="63" t="s">
        <v>97</v>
      </c>
    </row>
  </sheetData>
  <mergeCells count="2">
    <mergeCell ref="A51:H51"/>
    <mergeCell ref="A52:H52"/>
  </mergeCells>
  <pageMargins left="0.5" right="0.5" top="0.75" bottom="1" header="0.5" footer="0.5"/>
  <pageSetup scale="96" orientation="landscape" r:id="rId1"/>
  <headerFooter alignWithMargins="0"/>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8</vt:i4>
      </vt:variant>
    </vt:vector>
  </HeadingPairs>
  <TitlesOfParts>
    <vt:vector size="16" baseType="lpstr">
      <vt:lpstr>FY 2018-19</vt:lpstr>
      <vt:lpstr>FY 2019-20</vt:lpstr>
      <vt:lpstr>FY 2020-21</vt:lpstr>
      <vt:lpstr>FY 2021-22</vt:lpstr>
      <vt:lpstr>FY 2022-23</vt:lpstr>
      <vt:lpstr>Project Status Report FY17-18</vt:lpstr>
      <vt:lpstr>Sheet1</vt:lpstr>
      <vt:lpstr>Projections</vt:lpstr>
      <vt:lpstr>AGENCY</vt:lpstr>
      <vt:lpstr>BANNING</vt:lpstr>
      <vt:lpstr>'FY 2018-19'!Print_Area</vt:lpstr>
      <vt:lpstr>'FY 2019-20'!Print_Area</vt:lpstr>
      <vt:lpstr>'FY 2020-21'!Print_Area</vt:lpstr>
      <vt:lpstr>'FY 2021-22'!Print_Area</vt:lpstr>
      <vt:lpstr>'FY 2022-23'!Print_Area</vt:lpstr>
      <vt:lpstr>'Project Status Report FY17-18'!Print_Area</vt:lpstr>
    </vt:vector>
  </TitlesOfParts>
  <Company>COH</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WSAdmin</dc:creator>
  <cp:lastModifiedBy>Launa Jimenez</cp:lastModifiedBy>
  <cp:lastPrinted>2018-03-14T18:56:00Z</cp:lastPrinted>
  <dcterms:created xsi:type="dcterms:W3CDTF">2005-04-08T21:13:14Z</dcterms:created>
  <dcterms:modified xsi:type="dcterms:W3CDTF">2018-04-02T19:33:48Z</dcterms:modified>
</cp:coreProperties>
</file>